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F15B6519-31C9-4702-9B22-E0F135E06186}" xr6:coauthVersionLast="47" xr6:coauthVersionMax="47" xr10:uidLastSave="{00000000-0000-0000-0000-000000000000}"/>
  <bookViews>
    <workbookView xWindow="-120" yWindow="-120" windowWidth="29040" windowHeight="15840" tabRatio="862" xr2:uid="{C0C94BD6-681C-4370-A3D1-5C573D0A8762}"/>
  </bookViews>
  <sheets>
    <sheet name="ГЕОреклама &quot;РОЛЬШТОРЫ&quot;" sheetId="12" r:id="rId1"/>
    <sheet name="ГЕОреклама РОЛЬШТОРЫ КОНВЕРСИЯ" sheetId="22" r:id="rId2"/>
    <sheet name="АБОНЕНТКА" sheetId="17" r:id="rId3"/>
    <sheet name="РАЗОВО" sheetId="18" r:id="rId4"/>
    <sheet name="Трафик ПЛАТНЫЙ vs БЕСПЛАТНЫЙ" sheetId="19" r:id="rId5"/>
    <sheet name="ИСТОЧНИКИ Поиск+Карты+Приоритет" sheetId="20" r:id="rId6"/>
    <sheet name="ИСТОЧНИКИ Поиск+Карты+Навигатор" sheetId="21" r:id="rId7"/>
    <sheet name="Яндекс.Статистика &quot;РОЛЬШТОРЫ&quot;" sheetId="16" r:id="rId8"/>
    <sheet name="Яндекс.Директ &quot;РОЛЬШТОРЫ&quot;" sheetId="14" r:id="rId9"/>
  </sheets>
  <definedNames>
    <definedName name="valuevx">42.314159</definedName>
    <definedName name="vertex42_copyright" hidden="1">"© 2014 Vertex42 LLC"</definedName>
    <definedName name="vertex42_id" hidden="1">"travel-budget.xlsx"</definedName>
    <definedName name="vertex42_title" hidden="1">"Travel Budget Worksheet"</definedName>
    <definedName name="Город">#REF!</definedName>
    <definedName name="Город1">#REF!</definedName>
    <definedName name="_xlnm.Print_Area" localSheetId="5">'ИСТОЧНИКИ Поиск+Карты+Приоритет'!$B$1:$L$18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B29" i="19"/>
  <c r="E29" i="19"/>
  <c r="H29" i="19"/>
  <c r="B32" i="19"/>
  <c r="B24" i="19"/>
  <c r="E24" i="19"/>
  <c r="H24" i="19"/>
  <c r="F18" i="19"/>
  <c r="H17" i="19"/>
  <c r="H16" i="19"/>
  <c r="H15" i="19"/>
  <c r="H14" i="19"/>
  <c r="H13" i="19"/>
  <c r="E17" i="19"/>
  <c r="E16" i="19"/>
  <c r="E15" i="19"/>
  <c r="E14" i="19"/>
  <c r="E13" i="19"/>
  <c r="D17" i="19"/>
  <c r="D16" i="19"/>
  <c r="D15" i="19"/>
  <c r="D14" i="19"/>
  <c r="D13" i="19"/>
  <c r="B17" i="19"/>
  <c r="I17" i="19" s="1"/>
  <c r="B16" i="19"/>
  <c r="I16" i="19" s="1"/>
  <c r="B15" i="19"/>
  <c r="I15" i="19" s="1"/>
  <c r="B14" i="19"/>
  <c r="I14" i="19" s="1"/>
  <c r="B13" i="19"/>
  <c r="I13" i="19" s="1"/>
  <c r="E20" i="18"/>
  <c r="I32" i="18" s="1"/>
  <c r="H20" i="17"/>
  <c r="J19" i="18"/>
  <c r="J18" i="18"/>
  <c r="J17" i="18"/>
  <c r="J16" i="18"/>
  <c r="J15" i="18"/>
  <c r="H19" i="18"/>
  <c r="H18" i="18"/>
  <c r="H17" i="18"/>
  <c r="H16" i="18"/>
  <c r="H15" i="18"/>
  <c r="D19" i="18"/>
  <c r="D18" i="18"/>
  <c r="D17" i="18"/>
  <c r="D16" i="18"/>
  <c r="D15" i="18"/>
  <c r="C19" i="18"/>
  <c r="C18" i="18"/>
  <c r="C17" i="18"/>
  <c r="C16" i="18"/>
  <c r="C15" i="18"/>
  <c r="D32" i="17"/>
  <c r="I32" i="17"/>
  <c r="D32" i="18" l="1"/>
  <c r="C24" i="17" l="1"/>
  <c r="H20" i="22" l="1"/>
  <c r="H20" i="12"/>
  <c r="E20" i="17"/>
  <c r="H19" i="17"/>
  <c r="H18" i="17"/>
  <c r="H17" i="17"/>
  <c r="D19" i="17"/>
  <c r="D18" i="17"/>
  <c r="D17" i="17"/>
  <c r="D16" i="17"/>
  <c r="C19" i="17"/>
  <c r="C18" i="17"/>
  <c r="J18" i="17" s="1"/>
  <c r="C17" i="17"/>
  <c r="C16" i="17"/>
  <c r="J16" i="17" s="1"/>
  <c r="H16" i="17"/>
  <c r="H15" i="17"/>
  <c r="D15" i="17"/>
  <c r="C15" i="17"/>
  <c r="H14" i="17"/>
  <c r="D14" i="17"/>
  <c r="C14" i="17"/>
  <c r="J15" i="17" l="1"/>
  <c r="J17" i="17"/>
  <c r="J19" i="17"/>
  <c r="C14" i="22"/>
  <c r="D16" i="22"/>
  <c r="D15" i="22"/>
  <c r="D19" i="22"/>
  <c r="D18" i="22"/>
  <c r="B29" i="22"/>
  <c r="J24" i="22"/>
  <c r="E20" i="22"/>
  <c r="I30" i="22" s="1"/>
  <c r="H19" i="22"/>
  <c r="C19" i="22"/>
  <c r="H18" i="22"/>
  <c r="C18" i="22"/>
  <c r="H17" i="22"/>
  <c r="D17" i="22"/>
  <c r="C17" i="22"/>
  <c r="J17" i="22" s="1"/>
  <c r="H16" i="22"/>
  <c r="C16" i="22"/>
  <c r="H15" i="22"/>
  <c r="C15" i="22"/>
  <c r="H14" i="22"/>
  <c r="D14" i="22"/>
  <c r="J15" i="21"/>
  <c r="H15" i="21"/>
  <c r="G5" i="21" s="1"/>
  <c r="K14" i="21"/>
  <c r="K13" i="21"/>
  <c r="K12" i="21"/>
  <c r="H6" i="21"/>
  <c r="H5" i="21"/>
  <c r="H4" i="21"/>
  <c r="J18" i="20"/>
  <c r="H18" i="20"/>
  <c r="G4" i="20" s="1"/>
  <c r="K17" i="20"/>
  <c r="H7" i="20" s="1"/>
  <c r="C8" i="20" s="1"/>
  <c r="K16" i="20"/>
  <c r="H6" i="20" s="1"/>
  <c r="K15" i="20"/>
  <c r="H5" i="20" s="1"/>
  <c r="K14" i="20"/>
  <c r="K4" i="20"/>
  <c r="H12" i="19"/>
  <c r="H32" i="19" s="1"/>
  <c r="E12" i="19"/>
  <c r="D12" i="19"/>
  <c r="B12" i="19"/>
  <c r="I12" i="19" s="1"/>
  <c r="I18" i="19" s="1"/>
  <c r="H32" i="18"/>
  <c r="B31" i="18"/>
  <c r="H14" i="18"/>
  <c r="D14" i="18"/>
  <c r="C14" i="18"/>
  <c r="B31" i="17"/>
  <c r="B645" i="16"/>
  <c r="B646" i="16" s="1"/>
  <c r="F645" i="16" s="1"/>
  <c r="B617" i="16"/>
  <c r="B618" i="16" s="1"/>
  <c r="F617" i="16" s="1"/>
  <c r="B589" i="16"/>
  <c r="B590" i="16" s="1"/>
  <c r="F589" i="16" s="1"/>
  <c r="B561" i="16"/>
  <c r="B562" i="16" s="1"/>
  <c r="F561" i="16" s="1"/>
  <c r="B533" i="16"/>
  <c r="B534" i="16" s="1"/>
  <c r="F533" i="16" s="1"/>
  <c r="B506" i="16"/>
  <c r="F505" i="16" s="1"/>
  <c r="B505" i="16"/>
  <c r="B478" i="16"/>
  <c r="F477" i="16" s="1"/>
  <c r="B477" i="16"/>
  <c r="B450" i="16"/>
  <c r="F449" i="16"/>
  <c r="B449" i="16"/>
  <c r="B422" i="16"/>
  <c r="F421" i="16" s="1"/>
  <c r="B421" i="16"/>
  <c r="B393" i="16"/>
  <c r="B394" i="16" s="1"/>
  <c r="F393" i="16" s="1"/>
  <c r="B365" i="16"/>
  <c r="B366" i="16" s="1"/>
  <c r="F365" i="16" s="1"/>
  <c r="B337" i="16"/>
  <c r="B338" i="16" s="1"/>
  <c r="F337" i="16" s="1"/>
  <c r="B309" i="16"/>
  <c r="B310" i="16" s="1"/>
  <c r="F309" i="16" s="1"/>
  <c r="B282" i="16"/>
  <c r="F281" i="16" s="1"/>
  <c r="B281" i="16"/>
  <c r="B254" i="16"/>
  <c r="F253" i="16" s="1"/>
  <c r="B253" i="16"/>
  <c r="B225" i="16"/>
  <c r="B226" i="16" s="1"/>
  <c r="F225" i="16" s="1"/>
  <c r="B198" i="16"/>
  <c r="F197" i="16" s="1"/>
  <c r="B197" i="16"/>
  <c r="B169" i="16"/>
  <c r="B170" i="16" s="1"/>
  <c r="B141" i="16"/>
  <c r="B142" i="16" s="1"/>
  <c r="B114" i="16"/>
  <c r="F113" i="16" s="1"/>
  <c r="B113" i="16"/>
  <c r="B86" i="16"/>
  <c r="F85" i="16" s="1"/>
  <c r="B85" i="16"/>
  <c r="B57" i="16"/>
  <c r="B58" i="16" s="1"/>
  <c r="B29" i="16"/>
  <c r="B30" i="16" s="1"/>
  <c r="G69" i="14"/>
  <c r="G58" i="14"/>
  <c r="G47" i="14"/>
  <c r="G36" i="14"/>
  <c r="E20" i="12"/>
  <c r="I30" i="12" s="1"/>
  <c r="G18" i="14"/>
  <c r="F18" i="14"/>
  <c r="D18" i="14"/>
  <c r="C18" i="14"/>
  <c r="B18" i="14"/>
  <c r="H19" i="12"/>
  <c r="C19" i="12"/>
  <c r="H18" i="12"/>
  <c r="C18" i="12"/>
  <c r="H17" i="12"/>
  <c r="C17" i="12"/>
  <c r="H16" i="12"/>
  <c r="C16" i="12"/>
  <c r="H15" i="12"/>
  <c r="C15" i="12"/>
  <c r="D17" i="12"/>
  <c r="D16" i="12"/>
  <c r="D15" i="12"/>
  <c r="B29" i="12"/>
  <c r="J24" i="12"/>
  <c r="H14" i="12"/>
  <c r="C14" i="12"/>
  <c r="G4" i="21" l="1"/>
  <c r="G6" i="21"/>
  <c r="K15" i="21"/>
  <c r="C6" i="21" s="1"/>
  <c r="I6" i="21" s="1"/>
  <c r="C4" i="21"/>
  <c r="K4" i="21" s="1"/>
  <c r="K18" i="20"/>
  <c r="C6" i="20" s="1"/>
  <c r="I6" i="20" s="1"/>
  <c r="G7" i="20"/>
  <c r="G6" i="20"/>
  <c r="G5" i="20"/>
  <c r="J14" i="18"/>
  <c r="J14" i="22"/>
  <c r="J16" i="22"/>
  <c r="J15" i="22"/>
  <c r="J18" i="22"/>
  <c r="J14" i="17"/>
  <c r="E25" i="17" s="1"/>
  <c r="J19" i="22"/>
  <c r="H4" i="20"/>
  <c r="E32" i="19"/>
  <c r="H25" i="19"/>
  <c r="H26" i="19" s="1"/>
  <c r="H27" i="19" s="1"/>
  <c r="E25" i="19"/>
  <c r="E26" i="19" s="1"/>
  <c r="E27" i="19" s="1"/>
  <c r="B25" i="19"/>
  <c r="B26" i="19" s="1"/>
  <c r="B27" i="19" s="1"/>
  <c r="H32" i="17"/>
  <c r="G57" i="16"/>
  <c r="F57" i="16"/>
  <c r="F169" i="16"/>
  <c r="G169" i="16"/>
  <c r="G141" i="16"/>
  <c r="F141" i="16"/>
  <c r="H29" i="16"/>
  <c r="G29" i="16"/>
  <c r="F29" i="16"/>
  <c r="D14" i="12"/>
  <c r="J14" i="12" s="1"/>
  <c r="D18" i="12"/>
  <c r="J18" i="12" s="1"/>
  <c r="J16" i="12"/>
  <c r="D19" i="12"/>
  <c r="J19" i="12" s="1"/>
  <c r="J15" i="12"/>
  <c r="J17" i="12"/>
  <c r="I4" i="21" l="1"/>
  <c r="I5" i="21"/>
  <c r="I7" i="20"/>
  <c r="I4" i="20"/>
  <c r="I5" i="20"/>
  <c r="J20" i="18"/>
  <c r="C24" i="18" s="1"/>
  <c r="H25" i="18" s="1"/>
  <c r="I28" i="18" s="1"/>
  <c r="I29" i="18" s="1"/>
  <c r="J20" i="17"/>
  <c r="D32" i="22"/>
  <c r="D32" i="12"/>
  <c r="H25" i="17"/>
  <c r="I28" i="17" s="1"/>
  <c r="I29" i="17" s="1"/>
  <c r="D25" i="17"/>
  <c r="D28" i="17" s="1"/>
  <c r="D29" i="17" s="1"/>
  <c r="D27" i="17" s="1"/>
  <c r="D30" i="17" s="1"/>
  <c r="D37" i="17" s="1"/>
  <c r="D39" i="17" s="1"/>
  <c r="J20" i="22"/>
  <c r="H36" i="19"/>
  <c r="H33" i="19"/>
  <c r="H37" i="19"/>
  <c r="H34" i="19"/>
  <c r="H35" i="19" s="1"/>
  <c r="H561" i="16"/>
  <c r="I561" i="16" s="1"/>
  <c r="H337" i="16"/>
  <c r="I337" i="16" s="1"/>
  <c r="I29" i="16"/>
  <c r="H645" i="16"/>
  <c r="I645" i="16" s="1"/>
  <c r="H421" i="16"/>
  <c r="I421" i="16" s="1"/>
  <c r="H197" i="16"/>
  <c r="I197" i="16" s="1"/>
  <c r="H505" i="16"/>
  <c r="I505" i="16" s="1"/>
  <c r="H281" i="16"/>
  <c r="I281" i="16" s="1"/>
  <c r="H113" i="16"/>
  <c r="I113" i="16" s="1"/>
  <c r="H253" i="16"/>
  <c r="I253" i="16" s="1"/>
  <c r="H85" i="16"/>
  <c r="I85" i="16" s="1"/>
  <c r="H589" i="16"/>
  <c r="I589" i="16" s="1"/>
  <c r="H365" i="16"/>
  <c r="I365" i="16" s="1"/>
  <c r="H533" i="16"/>
  <c r="I533" i="16" s="1"/>
  <c r="H309" i="16"/>
  <c r="I309" i="16" s="1"/>
  <c r="H449" i="16"/>
  <c r="I449" i="16" s="1"/>
  <c r="H225" i="16"/>
  <c r="I225" i="16" s="1"/>
  <c r="H141" i="16"/>
  <c r="I141" i="16" s="1"/>
  <c r="H57" i="16"/>
  <c r="I57" i="16" s="1"/>
  <c r="H617" i="16"/>
  <c r="I617" i="16" s="1"/>
  <c r="H393" i="16"/>
  <c r="I393" i="16" s="1"/>
  <c r="H169" i="16"/>
  <c r="I169" i="16" s="1"/>
  <c r="H477" i="16"/>
  <c r="I477" i="16" s="1"/>
  <c r="J20" i="12"/>
  <c r="D25" i="18" l="1"/>
  <c r="E25" i="18"/>
  <c r="D28" i="18" s="1"/>
  <c r="D29" i="18" s="1"/>
  <c r="D27" i="18" s="1"/>
  <c r="D30" i="18" s="1"/>
  <c r="H20" i="18"/>
  <c r="D36" i="17"/>
  <c r="D38" i="17"/>
  <c r="H28" i="17"/>
  <c r="D40" i="17"/>
  <c r="H26" i="22"/>
  <c r="H27" i="22" s="1"/>
  <c r="D26" i="22"/>
  <c r="D27" i="22" s="1"/>
  <c r="D25" i="22" s="1"/>
  <c r="D28" i="22" s="1"/>
  <c r="D30" i="22"/>
  <c r="B37" i="19"/>
  <c r="B36" i="19"/>
  <c r="B33" i="19"/>
  <c r="E37" i="19"/>
  <c r="E36" i="19"/>
  <c r="E33" i="19"/>
  <c r="E34" i="19"/>
  <c r="E35" i="19" s="1"/>
  <c r="B34" i="19"/>
  <c r="B35" i="19" s="1"/>
  <c r="I27" i="18"/>
  <c r="I38" i="18"/>
  <c r="I27" i="17"/>
  <c r="H29" i="17"/>
  <c r="I38" i="17"/>
  <c r="D30" i="12"/>
  <c r="H30" i="12" s="1"/>
  <c r="H26" i="12"/>
  <c r="H27" i="12" s="1"/>
  <c r="I37" i="12" s="1"/>
  <c r="D26" i="12"/>
  <c r="D27" i="12" s="1"/>
  <c r="D25" i="12" s="1"/>
  <c r="D28" i="12" s="1"/>
  <c r="I34" i="12" s="1"/>
  <c r="H29" i="18" l="1"/>
  <c r="D40" i="18"/>
  <c r="D38" i="18"/>
  <c r="H38" i="18" s="1"/>
  <c r="H28" i="18"/>
  <c r="H38" i="17"/>
  <c r="D37" i="22"/>
  <c r="H30" i="22"/>
  <c r="D34" i="22"/>
  <c r="D35" i="22"/>
  <c r="D38" i="22" s="1"/>
  <c r="I34" i="22"/>
  <c r="H25" i="22"/>
  <c r="D40" i="22" s="1"/>
  <c r="I37" i="22"/>
  <c r="D37" i="18"/>
  <c r="D39" i="18" s="1"/>
  <c r="D36" i="18"/>
  <c r="I30" i="18"/>
  <c r="H27" i="18"/>
  <c r="I40" i="18"/>
  <c r="H40" i="18" s="1"/>
  <c r="I30" i="17"/>
  <c r="H27" i="17"/>
  <c r="I40" i="17"/>
  <c r="H40" i="17" s="1"/>
  <c r="D37" i="12"/>
  <c r="H37" i="12" s="1"/>
  <c r="H25" i="12"/>
  <c r="I40" i="12" s="1"/>
  <c r="D34" i="12"/>
  <c r="H34" i="12" s="1"/>
  <c r="D35" i="12"/>
  <c r="D38" i="12" s="1"/>
  <c r="H28" i="22" l="1"/>
  <c r="I35" i="22" s="1"/>
  <c r="I40" i="22"/>
  <c r="H40" i="22" s="1"/>
  <c r="H34" i="22"/>
  <c r="H37" i="22"/>
  <c r="I37" i="18"/>
  <c r="H30" i="18"/>
  <c r="I36" i="18"/>
  <c r="H36" i="18" s="1"/>
  <c r="I37" i="17"/>
  <c r="H30" i="17"/>
  <c r="I36" i="17"/>
  <c r="H36" i="17" s="1"/>
  <c r="H28" i="12"/>
  <c r="I35" i="12" s="1"/>
  <c r="H35" i="12" s="1"/>
  <c r="D40" i="12"/>
  <c r="H40" i="12" s="1"/>
  <c r="H35" i="22" l="1"/>
  <c r="I38" i="22"/>
  <c r="H38" i="22" s="1"/>
  <c r="H37" i="18"/>
  <c r="I39" i="18"/>
  <c r="H39" i="18" s="1"/>
  <c r="H37" i="17"/>
  <c r="I39" i="17"/>
  <c r="H39" i="17" s="1"/>
  <c r="I38" i="12"/>
  <c r="H38" i="12" s="1"/>
</calcChain>
</file>

<file path=xl/sharedStrings.xml><?xml version="1.0" encoding="utf-8"?>
<sst xmlns="http://schemas.openxmlformats.org/spreadsheetml/2006/main" count="807" uniqueCount="205">
  <si>
    <t>МОГИЛЕВ</t>
  </si>
  <si>
    <t>Период</t>
  </si>
  <si>
    <t>Число запросов</t>
  </si>
  <si>
    <t>Среднее за месяц</t>
  </si>
  <si>
    <t>Средннее за год</t>
  </si>
  <si>
    <t>БРЕСТ</t>
  </si>
  <si>
    <t>МИНСК</t>
  </si>
  <si>
    <t>ГРОДНО</t>
  </si>
  <si>
    <t>ВИТЕБСК</t>
  </si>
  <si>
    <t>ГОМЕЛЬ</t>
  </si>
  <si>
    <t>Барановичи</t>
  </si>
  <si>
    <t>Брест</t>
  </si>
  <si>
    <t>Витебск</t>
  </si>
  <si>
    <t>Могилев</t>
  </si>
  <si>
    <t>ИТОГО</t>
  </si>
  <si>
    <t>месяцев</t>
  </si>
  <si>
    <t>Яндекс.Навигатор</t>
  </si>
  <si>
    <t>+</t>
  </si>
  <si>
    <t>рольшторы в "городе", римские шторы, шторы плиссе, карнизы, карнизы металлические, жалюзи горизонтальные, жалюзи вертикальные, шторы, шторы на заказ</t>
  </si>
  <si>
    <t>БАРАНОВИЧИ - ключевой город</t>
  </si>
  <si>
    <t>НАСЕЛЕНИЕ ГОРОДА</t>
  </si>
  <si>
    <t>ПРОВЕРОЧНЫЙ КОЭФФИЦИЕНТ</t>
  </si>
  <si>
    <t>РАСЧЕТНЫЙ КОЭФФИЦИЕНТ</t>
  </si>
  <si>
    <t>Посетителей для 1 магазина на душу населения города</t>
  </si>
  <si>
    <t>Бобруйск</t>
  </si>
  <si>
    <t>% трафика</t>
  </si>
  <si>
    <r>
      <t>Динамика частотности запросов «</t>
    </r>
    <r>
      <rPr>
        <b/>
        <sz val="10"/>
        <color theme="9"/>
        <rFont val="Arial"/>
        <family val="2"/>
        <charset val="204"/>
      </rPr>
      <t>РОЛЬШТОРЫ</t>
    </r>
    <r>
      <rPr>
        <sz val="10"/>
        <color theme="1"/>
        <rFont val="Arial"/>
        <family val="2"/>
        <charset val="204"/>
      </rPr>
      <t>» "</t>
    </r>
    <r>
      <rPr>
        <b/>
        <sz val="10"/>
        <color theme="9"/>
        <rFont val="Arial"/>
        <family val="2"/>
        <charset val="204"/>
      </rPr>
      <t>РУЛОННЫЕ ШТОРЫ</t>
    </r>
    <r>
      <rPr>
        <sz val="10"/>
        <color theme="1"/>
        <rFont val="Arial"/>
        <family val="2"/>
        <charset val="204"/>
      </rPr>
      <t>", по месяцам, 01.01.2024 — 31.12.2025, все устройства</t>
    </r>
  </si>
  <si>
    <t>Реальный показатель посетителей для 1 магазина за 1 год</t>
  </si>
  <si>
    <t>Расчетный показатель посетителей для 1 магазина за 1 год</t>
  </si>
  <si>
    <t>Ключевого запроса к реальной цифре посетителей</t>
  </si>
  <si>
    <t>МОСКВА</t>
  </si>
  <si>
    <t>САНКТ-ПЕТЕРБУРГ</t>
  </si>
  <si>
    <t>рольшторы</t>
  </si>
  <si>
    <t>рулонные шторы</t>
  </si>
  <si>
    <t>римские шторы</t>
  </si>
  <si>
    <t>шторы плиссе</t>
  </si>
  <si>
    <t>карнизы</t>
  </si>
  <si>
    <t>карнизы металлические</t>
  </si>
  <si>
    <t>жалюзи горизонтальные</t>
  </si>
  <si>
    <t>жалюзи вертикальные</t>
  </si>
  <si>
    <t>шторы на заказ</t>
  </si>
  <si>
    <t>Ключевого запроса к населению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</si>
  <si>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</si>
  <si>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</si>
  <si>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</si>
  <si>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</si>
  <si>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</si>
  <si>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</si>
  <si>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</si>
  <si>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</si>
  <si>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</si>
  <si>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</si>
  <si>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</si>
  <si>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</si>
  <si>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</si>
  <si>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</si>
  <si>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Ваш город</t>
  </si>
  <si>
    <t>Население</t>
  </si>
  <si>
    <t>Коэф. посетит.</t>
  </si>
  <si>
    <t>Цена клика</t>
  </si>
  <si>
    <t>Посетителей за год</t>
  </si>
  <si>
    <t>Экономика</t>
  </si>
  <si>
    <t>Средний чек</t>
  </si>
  <si>
    <t>Рентабельность</t>
  </si>
  <si>
    <t>Конверсия</t>
  </si>
  <si>
    <t>ежемесячно</t>
  </si>
  <si>
    <t>за</t>
  </si>
  <si>
    <t>года</t>
  </si>
  <si>
    <t>Выручка</t>
  </si>
  <si>
    <t>Клиентов</t>
  </si>
  <si>
    <t>Прибыль</t>
  </si>
  <si>
    <t xml:space="preserve">LTV / CAC </t>
  </si>
  <si>
    <t>:</t>
  </si>
  <si>
    <t>CAC</t>
  </si>
  <si>
    <t>Геореклама</t>
  </si>
  <si>
    <t>Вложения</t>
  </si>
  <si>
    <t>ROMI от прибыли</t>
  </si>
  <si>
    <t>Города</t>
  </si>
  <si>
    <t>Геореклама     1 объекта</t>
  </si>
  <si>
    <t>Минск</t>
  </si>
  <si>
    <t>Гродно</t>
  </si>
  <si>
    <t>Гомель</t>
  </si>
  <si>
    <t>Москва</t>
  </si>
  <si>
    <t>Санкт-Петербург</t>
  </si>
  <si>
    <t>Новосибирск</t>
  </si>
  <si>
    <t>Екатеринбург</t>
  </si>
  <si>
    <t>Казань</t>
  </si>
  <si>
    <t>Краснодар</t>
  </si>
  <si>
    <t>Нижний Новгород</t>
  </si>
  <si>
    <t>Челябинск</t>
  </si>
  <si>
    <t>Красноярск</t>
  </si>
  <si>
    <t>Самара</t>
  </si>
  <si>
    <t>Уфа</t>
  </si>
  <si>
    <t>Ростов-на-Дону</t>
  </si>
  <si>
    <t>Омск</t>
  </si>
  <si>
    <t>Воронеж</t>
  </si>
  <si>
    <t>Пермь</t>
  </si>
  <si>
    <t>Волгоград</t>
  </si>
  <si>
    <t>Срок окупаемости</t>
  </si>
  <si>
    <t>К-посетителя РОЛЬШТОРЫ</t>
  </si>
  <si>
    <t>Сеть "СОЛНЦЕЗАЩИТНЫЕ СИСТЕМЫ" 2024-2025</t>
  </si>
  <si>
    <t>Магазинов</t>
  </si>
  <si>
    <t>Отчетный период</t>
  </si>
  <si>
    <r>
      <t xml:space="preserve">ДОХОДЫ </t>
    </r>
    <r>
      <rPr>
        <sz val="12"/>
        <color theme="0"/>
        <rFont val="Arial"/>
        <family val="2"/>
        <charset val="204"/>
      </rPr>
      <t>от георекламы</t>
    </r>
  </si>
  <si>
    <t>Посетителей</t>
  </si>
  <si>
    <t>Яндекс Директ</t>
  </si>
  <si>
    <t>∆</t>
  </si>
  <si>
    <t>ВСЕГО расходов</t>
  </si>
  <si>
    <t>X</t>
  </si>
  <si>
    <t>Постоянные в месяц</t>
  </si>
  <si>
    <t>Переменные в месяц</t>
  </si>
  <si>
    <t>Окупаемость</t>
  </si>
  <si>
    <t>CAC (цена клиента)</t>
  </si>
  <si>
    <t>ДРР</t>
  </si>
  <si>
    <t>ДРР (доля рекламных расходов в выручке)</t>
  </si>
  <si>
    <t>ПОИСКОВЫЕ ЗАПРОСЫ в Яндексе: карты и поиск</t>
  </si>
  <si>
    <t>рольшторы в "городе"</t>
  </si>
  <si>
    <t xml:space="preserve">   </t>
  </si>
  <si>
    <t xml:space="preserve"> </t>
  </si>
  <si>
    <t xml:space="preserve">     </t>
  </si>
  <si>
    <t xml:space="preserve">      </t>
  </si>
  <si>
    <t xml:space="preserve">             </t>
  </si>
  <si>
    <r>
      <rPr>
        <b/>
        <sz val="20"/>
        <color rgb="FFFF0000"/>
        <rFont val="Aptos Narrow"/>
        <family val="2"/>
        <scheme val="minor"/>
      </rPr>
      <t>Яндекс.</t>
    </r>
    <r>
      <rPr>
        <b/>
        <sz val="20"/>
        <color theme="1"/>
        <rFont val="Aptos Narrow"/>
        <family val="2"/>
        <scheme val="minor"/>
      </rPr>
      <t>Директ</t>
    </r>
  </si>
  <si>
    <t>План:</t>
  </si>
  <si>
    <t>Солнцезащитные системы</t>
  </si>
  <si>
    <t>Срок компании:</t>
  </si>
  <si>
    <t>Год</t>
  </si>
  <si>
    <t>Площадки:</t>
  </si>
  <si>
    <t>Все</t>
  </si>
  <si>
    <t>Валюта:</t>
  </si>
  <si>
    <t>Белорусские рубли</t>
  </si>
  <si>
    <t>Регион показа:</t>
  </si>
  <si>
    <t>Беларусь</t>
  </si>
  <si>
    <t>Примерное количество запросов</t>
  </si>
  <si>
    <t>Примерное количество показов в год (при объёме трафика 100)*</t>
  </si>
  <si>
    <t>Примерное количество переходов в год (при объёме трафика 100)*</t>
  </si>
  <si>
    <t>Примерная установленная ставка (при объёме трафика 100), BYN</t>
  </si>
  <si>
    <t>Примерная списываемая цена клика (при объёме трафика 100), BYN</t>
  </si>
  <si>
    <t>Примерный бюджет, BYN (при объёме трафика 100)</t>
  </si>
  <si>
    <t>карнизы -металлический</t>
  </si>
  <si>
    <t>шторы -заказ -плиссе -римский</t>
  </si>
  <si>
    <t>Итого с учетом выбранного объёма трафика**</t>
  </si>
  <si>
    <t xml:space="preserve">       Средние цены за клик указаны по состоянию на 14.01.2026 и могут быть изменены без предварительного уведомления.</t>
  </si>
  <si>
    <t xml:space="preserve">       Цены указаны без учета НДС.</t>
  </si>
  <si>
    <t>*      Число показов и переходов рассчитано на основании данных статистики за предыдущий период с учетом заданных единых минус-фраз (список приведен на вкладке Единые минус-фразы).</t>
  </si>
  <si>
    <t>**     Имейте в виду, что реальный бюджет может отличаться от прогнозируемого, так как он подсчитан на основе анализа ставок конкурентов и CTR их кампаний, а эти параметры могут изменяться в процессе работы вашей кампании. Кроме этого, в прогнозе бюджета не учитываются показы объявлений в сети (Рекламная сеть Яндекса и внешние сети) и настройки временного таргетинга.</t>
  </si>
  <si>
    <t xml:space="preserve">       Объявления по фразе будут показываться во всех случаях, когда в запросе присутствует эта фраза. Так, объявления по слову «мебель» будут показаны и тому, кто искал "мебель", и тому, кто искал "каталог мебели".</t>
  </si>
  <si>
    <t xml:space="preserve">       Минус-фразы и минус-слова используются для дополнительного уточнения слов (словосочетаний). Так, объявления по условию "шкаф -жарочный" будут показаны по запросам "продажа шкафов", "шкаф-купе", но не будут показаны по запросу "жарочный шкаф"..</t>
  </si>
  <si>
    <t xml:space="preserve">       В случае, если ставка окажется недостаточной для показа на поиске, реальное количество показов и бюджет по соответствующим словам (словосочетаниям) может оказаться существенно меньше прогнозируемого.</t>
  </si>
  <si>
    <t xml:space="preserve">РЕКЛАМА за </t>
  </si>
  <si>
    <t>Прогноз CTR (при объёме трафика 100)</t>
  </si>
  <si>
    <t>Примерная установленная ставка (при объёме трафика 100), долл.</t>
  </si>
  <si>
    <t>Примерная списываемая цена клика (при объёме трафика 100), долл.</t>
  </si>
  <si>
    <t>Примерный бюджет, долл. (при объёме трафика 100)</t>
  </si>
  <si>
    <t>рольшторы день ночь</t>
  </si>
  <si>
    <t>Трафик</t>
  </si>
  <si>
    <t>Всего посетителей</t>
  </si>
  <si>
    <t>КАРТЫ</t>
  </si>
  <si>
    <t>НАВИГАТОР</t>
  </si>
  <si>
    <t>ПОИСК (геоблок-колдунщик)</t>
  </si>
  <si>
    <t>Карты</t>
  </si>
  <si>
    <t>Поиск (Колдунщик)</t>
  </si>
  <si>
    <r>
      <t xml:space="preserve">РЕКЛАМА </t>
    </r>
    <r>
      <rPr>
        <sz val="12"/>
        <color theme="0"/>
        <rFont val="Arial"/>
        <family val="2"/>
        <charset val="204"/>
      </rPr>
      <t xml:space="preserve">за </t>
    </r>
  </si>
  <si>
    <t>АБОНЕНТКА в мес/офис</t>
  </si>
  <si>
    <t>Приоритет в месяц</t>
  </si>
  <si>
    <t>РАЗОВО за офис</t>
  </si>
  <si>
    <t>АБОНЕНТКА в месяц</t>
  </si>
  <si>
    <t>Место</t>
  </si>
  <si>
    <t>Цена GeoSeo</t>
  </si>
  <si>
    <t xml:space="preserve">ДОХОДЫ </t>
  </si>
  <si>
    <t>Реклама + Карты</t>
  </si>
  <si>
    <t>Поиск (GeoSeo)</t>
  </si>
  <si>
    <t>Источник</t>
  </si>
  <si>
    <t>Реклама</t>
  </si>
  <si>
    <t>Навигатор</t>
  </si>
  <si>
    <t>Геоблок (колдунщик)</t>
  </si>
  <si>
    <t>ГЕОреклама</t>
  </si>
  <si>
    <t>Реклама (Я.Приоритет)</t>
  </si>
  <si>
    <t>Расходы</t>
  </si>
  <si>
    <t>Разово</t>
  </si>
  <si>
    <t xml:space="preserve">   Источники трафика: ПЛАТНО и БЕСПЛАТНО </t>
  </si>
  <si>
    <t>Весь трафик</t>
  </si>
  <si>
    <t>Откуда приходят посетители?</t>
  </si>
  <si>
    <t>трафик</t>
  </si>
  <si>
    <t>клиенты</t>
  </si>
  <si>
    <t>% клиентов</t>
  </si>
  <si>
    <t>Колдунщик</t>
  </si>
  <si>
    <t>бесплатно</t>
  </si>
  <si>
    <t>Клиентов с рекламы</t>
  </si>
  <si>
    <t>Приоритет</t>
  </si>
  <si>
    <t>платно</t>
  </si>
  <si>
    <t>Откуда приходят клиенты</t>
  </si>
  <si>
    <t>источник трафика</t>
  </si>
  <si>
    <t>категория</t>
  </si>
  <si>
    <t>посетителей</t>
  </si>
  <si>
    <t>конверсия</t>
  </si>
  <si>
    <t>клиентов</t>
  </si>
  <si>
    <t>Геоблок яндекс поиска</t>
  </si>
  <si>
    <t>Яндекс.Карты</t>
  </si>
  <si>
    <t>Карты+Навигатор (реклама)</t>
  </si>
  <si>
    <t>Источники трафика ГЕОРЕКЛАМА</t>
  </si>
  <si>
    <t>Карты + Навигатор</t>
  </si>
  <si>
    <r>
      <t xml:space="preserve">Стоимость Яндекс.Приоритета за 5 точек на год </t>
    </r>
    <r>
      <rPr>
        <b/>
        <sz val="12"/>
        <color theme="4"/>
        <rFont val="Arial"/>
        <family val="2"/>
        <charset val="204"/>
      </rPr>
      <t xml:space="preserve">2000$. </t>
    </r>
  </si>
  <si>
    <r>
      <t>Это дало + 124 клиентов или 7% от всех клиентов. Цена клиента (CAC) =</t>
    </r>
    <r>
      <rPr>
        <b/>
        <sz val="12"/>
        <color theme="4"/>
        <rFont val="Arial"/>
        <family val="2"/>
        <charset val="204"/>
      </rPr>
      <t xml:space="preserve"> 16$</t>
    </r>
  </si>
  <si>
    <t>Гранитная мастерская / Беларусь / Только Приоритетое размещение 2025 год / 640 BYR в год за офис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</si>
</sst>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mmmm\ yyyy"/>
    <numFmt numFmtId="165" formatCode="0.000"/>
    <numFmt numFmtId="166" formatCode="0.0%"/>
    <numFmt numFmtId="167" formatCode="0.0"/>
    <numFmt numFmtId="168" formatCode="#,##0.000"/>
    <numFmt numFmtId="169" formatCode="[&lt;=9999999]###\-####;\(###\)\ ###\-####"/>
    <numFmt numFmtId="170" formatCode="[$$-409]#,##0.0"/>
    <numFmt numFmtId="171" formatCode="[$$-409]#,##0"/>
    <numFmt numFmtId="172" formatCode="[$$-409]#,##0.00"/>
    <numFmt numFmtId="173" formatCode="#,##0.0\ [$Br-423]"/>
    <numFmt numFmtId="174" formatCode="#,##0;[Red]#,##0"/>
    <numFmt numFmtId="175" formatCode="&quot;$&quot;#,##0_);[Red]\(&quot;$&quot;#,##0\)"/>
    <numFmt numFmtId="176" formatCode="#,##0.00\ _₽"/>
  </numFmts>
  <fonts count="66" x14ac:knownFonts="1">
    <font>
      <sz val="11"/>
      <color theme="1"/>
      <name val="Aptos Narrow"/>
      <family val="2"/>
      <charset val="204"/>
      <scheme val="minor"/>
    </font>
    <font>
      <sz val="11"/>
      <color rgb="FFFF0000"/>
      <name val="Aptos Narrow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2"/>
      <color theme="0"/>
      <name val="Arial"/>
      <family val="2"/>
      <charset val="204"/>
    </font>
    <font>
      <sz val="11"/>
      <color theme="3"/>
      <name val="Calibri"/>
      <family val="2"/>
      <charset val="204"/>
    </font>
    <font>
      <sz val="11"/>
      <color theme="3" tint="0.24994659260841701"/>
      <name val="Calibri"/>
      <family val="2"/>
      <charset val="204"/>
    </font>
    <font>
      <b/>
      <sz val="11"/>
      <color theme="3" tint="0.2499465926084170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9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92D050"/>
      <name val="Arial"/>
      <family val="2"/>
      <charset val="204"/>
    </font>
    <font>
      <sz val="8"/>
      <color theme="1"/>
      <name val="Arial"/>
      <family val="2"/>
      <charset val="204"/>
    </font>
    <font>
      <b/>
      <sz val="12"/>
      <color rgb="FF00B0F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7030A0"/>
      <name val="Arial"/>
      <family val="2"/>
      <charset val="204"/>
    </font>
    <font>
      <sz val="12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6140"/>
      <name val="Arial"/>
      <family val="2"/>
      <charset val="204"/>
    </font>
    <font>
      <b/>
      <sz val="10"/>
      <color rgb="FF35A7D3"/>
      <name val="Arial"/>
      <family val="2"/>
      <charset val="204"/>
    </font>
    <font>
      <b/>
      <sz val="12"/>
      <color rgb="FF007BA7"/>
      <name val="Arial"/>
      <family val="2"/>
      <charset val="204"/>
    </font>
    <font>
      <sz val="14"/>
      <color theme="0"/>
      <name val="Aptos Narrow"/>
      <family val="2"/>
      <charset val="204"/>
    </font>
    <font>
      <sz val="14"/>
      <color theme="0"/>
      <name val="Arial"/>
      <family val="2"/>
      <charset val="204"/>
    </font>
    <font>
      <sz val="10"/>
      <color rgb="FF35A7D3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20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8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2"/>
      <color rgb="FF007BA7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rgb="FF00B0F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ptos Narrow"/>
      <family val="2"/>
      <scheme val="minor"/>
    </font>
    <font>
      <sz val="24"/>
      <color theme="4"/>
      <name val="Arial"/>
      <family val="2"/>
    </font>
    <font>
      <sz val="11"/>
      <color theme="1"/>
      <name val="Arial"/>
      <family val="2"/>
    </font>
    <font>
      <b/>
      <sz val="10"/>
      <color theme="4"/>
      <name val="Arial"/>
      <family val="2"/>
    </font>
    <font>
      <sz val="11"/>
      <color theme="4" tint="0.79998168889431442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2"/>
      <name val="Arial"/>
      <family val="2"/>
    </font>
    <font>
      <b/>
      <sz val="12"/>
      <color theme="4"/>
      <name val="Arial"/>
      <family val="2"/>
      <charset val="204"/>
    </font>
    <font>
      <b/>
      <sz val="11"/>
      <color theme="4" tint="-0.249977111117893"/>
      <name val="Arial"/>
      <family val="2"/>
    </font>
    <font>
      <b/>
      <sz val="12"/>
      <color theme="0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  <charset val="204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u/>
      <sz val="10"/>
      <color rgb="FF0000FF"/>
      <name val="Arial"/>
      <family val="2"/>
    </font>
    <font>
      <sz val="12"/>
      <color theme="4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BA7"/>
        <bgColor indexed="64"/>
      </patternFill>
    </fill>
    <fill>
      <patternFill patternType="solid">
        <fgColor rgb="FFFF6140"/>
        <bgColor indexed="64"/>
      </patternFill>
    </fill>
    <fill>
      <patternFill patternType="solid">
        <fgColor rgb="FF35A7D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16886"/>
        <bgColor indexed="64"/>
      </patternFill>
    </fill>
    <fill>
      <patternFill patternType="solid">
        <fgColor rgb="FF8ABB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18AB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3" tint="0.749961851863155"/>
      </bottom>
      <diagonal/>
    </border>
    <border>
      <left/>
      <right/>
      <top style="hair">
        <color theme="3" tint="0.2499465926084170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hair">
        <color theme="4"/>
      </left>
      <right/>
      <top/>
      <bottom style="hair">
        <color theme="4"/>
      </bottom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double">
        <color theme="4"/>
      </bottom>
      <diagonal/>
    </border>
    <border>
      <left/>
      <right style="hair">
        <color theme="4"/>
      </right>
      <top style="hair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 style="hair">
        <color theme="4"/>
      </top>
      <bottom style="double">
        <color theme="4"/>
      </bottom>
      <diagonal/>
    </border>
  </borders>
  <cellStyleXfs count="12">
    <xf numFmtId="0" fontId="0" fillId="0" borderId="0"/>
    <xf numFmtId="169" fontId="7" fillId="0" borderId="0" applyFill="0" applyBorder="0">
      <alignment horizontal="left" vertical="top" wrapText="1"/>
    </xf>
    <xf numFmtId="0" fontId="7" fillId="0" borderId="0" applyNumberFormat="0" applyFill="0" applyBorder="0">
      <alignment horizontal="center" vertical="center"/>
    </xf>
    <xf numFmtId="14" fontId="7" fillId="0" borderId="0" applyFill="0" applyBorder="0">
      <alignment horizontal="left" vertical="center"/>
    </xf>
    <xf numFmtId="0" fontId="7" fillId="0" borderId="1" applyNumberFormat="0" applyFill="0" applyAlignment="0">
      <alignment horizontal="left" vertical="center"/>
    </xf>
    <xf numFmtId="0" fontId="9" fillId="0" borderId="0" applyNumberFormat="0" applyFill="0" applyProtection="0">
      <alignment horizontal="left" vertical="center" indent="1"/>
    </xf>
    <xf numFmtId="14" fontId="7" fillId="0" borderId="0" applyFill="0" applyBorder="0">
      <alignment horizontal="left" vertical="top"/>
    </xf>
    <xf numFmtId="0" fontId="8" fillId="0" borderId="2">
      <alignment horizontal="left" vertical="top" wrapText="1"/>
    </xf>
    <xf numFmtId="0" fontId="13" fillId="0" borderId="0"/>
    <xf numFmtId="0" fontId="21" fillId="0" borderId="0"/>
    <xf numFmtId="0" fontId="46" fillId="0" borderId="0"/>
    <xf numFmtId="0" fontId="63" fillId="0" borderId="0" applyNumberFormat="0" applyFill="0" applyBorder="0" applyAlignment="0" applyProtection="0"/>
  </cellStyleXfs>
  <cellXfs count="345">
    <xf numFmtId="0" fontId="0" fillId="0" borderId="0" xfId="0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3" fontId="3" fillId="3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1" fontId="2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4" fontId="13" fillId="0" borderId="0" xfId="8" applyNumberFormat="1"/>
    <xf numFmtId="1" fontId="13" fillId="0" borderId="0" xfId="8" applyNumberFormat="1"/>
    <xf numFmtId="165" fontId="13" fillId="0" borderId="0" xfId="8" applyNumberFormat="1"/>
    <xf numFmtId="164" fontId="0" fillId="0" borderId="0" xfId="0" applyNumberFormat="1"/>
    <xf numFmtId="165" fontId="0" fillId="0" borderId="0" xfId="0" applyNumberFormat="1"/>
    <xf numFmtId="3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20" fillId="0" borderId="0" xfId="0" applyFont="1" applyAlignment="1">
      <alignment vertical="center"/>
    </xf>
    <xf numFmtId="0" fontId="12" fillId="8" borderId="3" xfId="0" applyFont="1" applyFill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indent="2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horizontal="left" vertical="center" indent="2"/>
    </xf>
    <xf numFmtId="0" fontId="2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170" fontId="19" fillId="0" borderId="0" xfId="0" applyNumberFormat="1" applyFont="1" applyAlignment="1">
      <alignment horizontal="center" vertical="center"/>
    </xf>
    <xf numFmtId="171" fontId="19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0" borderId="0" xfId="0" applyFont="1"/>
    <xf numFmtId="165" fontId="19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0" fontId="6" fillId="10" borderId="0" xfId="0" applyFont="1" applyFill="1" applyAlignment="1">
      <alignment horizontal="left" vertical="center" indent="3"/>
    </xf>
    <xf numFmtId="0" fontId="19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vertical="center" wrapText="1"/>
    </xf>
    <xf numFmtId="3" fontId="12" fillId="8" borderId="4" xfId="0" applyNumberFormat="1" applyFont="1" applyFill="1" applyBorder="1" applyAlignment="1">
      <alignment vertical="center"/>
    </xf>
    <xf numFmtId="171" fontId="30" fillId="0" borderId="0" xfId="0" applyNumberFormat="1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" fontId="30" fillId="9" borderId="0" xfId="0" applyNumberFormat="1" applyFont="1" applyFill="1" applyAlignment="1">
      <alignment vertical="center"/>
    </xf>
    <xf numFmtId="1" fontId="23" fillId="10" borderId="0" xfId="0" applyNumberFormat="1" applyFont="1" applyFill="1" applyAlignment="1">
      <alignment horizontal="center" vertical="center"/>
    </xf>
    <xf numFmtId="0" fontId="23" fillId="10" borderId="0" xfId="0" applyFont="1" applyFill="1" applyAlignment="1">
      <alignment vertical="center"/>
    </xf>
    <xf numFmtId="171" fontId="10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71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left" vertical="center"/>
    </xf>
    <xf numFmtId="1" fontId="11" fillId="8" borderId="0" xfId="0" applyNumberFormat="1" applyFont="1" applyFill="1" applyAlignment="1">
      <alignment vertical="center"/>
    </xf>
    <xf numFmtId="167" fontId="11" fillId="8" borderId="0" xfId="0" applyNumberFormat="1" applyFont="1" applyFill="1" applyAlignment="1">
      <alignment vertical="center"/>
    </xf>
    <xf numFmtId="9" fontId="10" fillId="0" borderId="0" xfId="0" applyNumberFormat="1" applyFont="1" applyAlignment="1">
      <alignment horizontal="right" vertical="center" wrapText="1" indent="1"/>
    </xf>
    <xf numFmtId="9" fontId="10" fillId="0" borderId="0" xfId="0" applyNumberFormat="1" applyFont="1" applyAlignment="1">
      <alignment vertical="center" wrapText="1"/>
    </xf>
    <xf numFmtId="167" fontId="11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horizontal="left" vertical="center" wrapText="1"/>
    </xf>
    <xf numFmtId="1" fontId="11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indent="2"/>
    </xf>
    <xf numFmtId="1" fontId="35" fillId="0" borderId="6" xfId="0" applyNumberFormat="1" applyFont="1" applyBorder="1" applyAlignment="1">
      <alignment horizontal="left" vertical="center" wrapText="1"/>
    </xf>
    <xf numFmtId="0" fontId="36" fillId="14" borderId="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1" fontId="12" fillId="0" borderId="6" xfId="0" applyNumberFormat="1" applyFont="1" applyBorder="1" applyAlignment="1">
      <alignment horizontal="left" vertical="center"/>
    </xf>
    <xf numFmtId="1" fontId="12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1" fontId="39" fillId="0" borderId="6" xfId="0" applyNumberFormat="1" applyFont="1" applyBorder="1" applyAlignment="1">
      <alignment horizontal="center" vertical="center" wrapText="1"/>
    </xf>
    <xf numFmtId="2" fontId="39" fillId="0" borderId="6" xfId="0" applyNumberFormat="1" applyFont="1" applyBorder="1" applyAlignment="1">
      <alignment horizontal="center" vertical="center" wrapText="1"/>
    </xf>
    <xf numFmtId="173" fontId="6" fillId="2" borderId="6" xfId="0" applyNumberFormat="1" applyFont="1" applyFill="1" applyBorder="1" applyAlignment="1">
      <alignment horizontal="center" vertical="center" wrapText="1"/>
    </xf>
    <xf numFmtId="1" fontId="6" fillId="10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vertical="center"/>
    </xf>
    <xf numFmtId="0" fontId="36" fillId="14" borderId="6" xfId="9" applyFont="1" applyFill="1" applyBorder="1" applyAlignment="1">
      <alignment horizontal="center" vertical="center" wrapText="1"/>
    </xf>
    <xf numFmtId="1" fontId="12" fillId="0" borderId="6" xfId="9" applyNumberFormat="1" applyFont="1" applyBorder="1" applyAlignment="1">
      <alignment horizontal="left" vertical="center"/>
    </xf>
    <xf numFmtId="1" fontId="12" fillId="0" borderId="6" xfId="9" applyNumberFormat="1" applyFont="1" applyBorder="1" applyAlignment="1">
      <alignment horizontal="center" vertical="center" wrapText="1"/>
    </xf>
    <xf numFmtId="2" fontId="12" fillId="0" borderId="6" xfId="9" applyNumberFormat="1" applyFont="1" applyBorder="1" applyAlignment="1">
      <alignment horizontal="center" vertical="center" wrapText="1"/>
    </xf>
    <xf numFmtId="1" fontId="35" fillId="0" borderId="6" xfId="9" applyNumberFormat="1" applyFont="1" applyBorder="1" applyAlignment="1">
      <alignment horizontal="left" vertical="center" wrapText="1"/>
    </xf>
    <xf numFmtId="170" fontId="6" fillId="4" borderId="6" xfId="9" applyNumberFormat="1" applyFont="1" applyFill="1" applyBorder="1" applyAlignment="1">
      <alignment horizontal="center" vertical="center" wrapText="1"/>
    </xf>
    <xf numFmtId="171" fontId="6" fillId="4" borderId="6" xfId="9" applyNumberFormat="1" applyFont="1" applyFill="1" applyBorder="1" applyAlignment="1">
      <alignment horizontal="center" vertical="center" wrapText="1"/>
    </xf>
    <xf numFmtId="171" fontId="40" fillId="4" borderId="6" xfId="9" applyNumberFormat="1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/>
    </xf>
    <xf numFmtId="170" fontId="2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left" vertical="center" indent="3"/>
    </xf>
    <xf numFmtId="171" fontId="34" fillId="0" borderId="0" xfId="0" applyNumberFormat="1" applyFont="1" applyAlignment="1">
      <alignment horizontal="center" vertical="center"/>
    </xf>
    <xf numFmtId="3" fontId="12" fillId="8" borderId="4" xfId="0" applyNumberFormat="1" applyFont="1" applyFill="1" applyBorder="1" applyAlignment="1">
      <alignment horizontal="center" vertical="center"/>
    </xf>
    <xf numFmtId="1" fontId="21" fillId="0" borderId="0" xfId="0" applyNumberFormat="1" applyFont="1" applyAlignment="1">
      <alignment horizontal="left" vertical="center" wrapText="1"/>
    </xf>
    <xf numFmtId="1" fontId="21" fillId="0" borderId="0" xfId="0" applyNumberFormat="1" applyFont="1" applyAlignment="1">
      <alignment horizontal="left" vertical="center"/>
    </xf>
    <xf numFmtId="0" fontId="11" fillId="4" borderId="0" xfId="0" applyFont="1" applyFill="1" applyAlignment="1">
      <alignment horizontal="right" vertical="center"/>
    </xf>
    <xf numFmtId="0" fontId="41" fillId="8" borderId="3" xfId="0" applyFont="1" applyFill="1" applyBorder="1" applyAlignment="1">
      <alignment vertical="center"/>
    </xf>
    <xf numFmtId="0" fontId="29" fillId="9" borderId="3" xfId="0" applyFont="1" applyFill="1" applyBorder="1" applyAlignment="1">
      <alignment horizontal="center" vertical="center"/>
    </xf>
    <xf numFmtId="171" fontId="21" fillId="0" borderId="0" xfId="0" applyNumberFormat="1" applyFont="1" applyAlignment="1">
      <alignment horizontal="center" vertical="center"/>
    </xf>
    <xf numFmtId="0" fontId="41" fillId="0" borderId="3" xfId="0" applyFont="1" applyBorder="1" applyAlignment="1">
      <alignment vertical="center"/>
    </xf>
    <xf numFmtId="9" fontId="30" fillId="9" borderId="4" xfId="0" applyNumberFormat="1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4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8" borderId="0" xfId="0" applyFont="1" applyFill="1" applyAlignment="1">
      <alignment horizontal="right" vertical="center"/>
    </xf>
    <xf numFmtId="9" fontId="21" fillId="8" borderId="0" xfId="0" applyNumberFormat="1" applyFont="1" applyFill="1" applyAlignment="1">
      <alignment horizontal="right" vertical="center"/>
    </xf>
    <xf numFmtId="9" fontId="21" fillId="8" borderId="0" xfId="0" applyNumberFormat="1" applyFont="1" applyFill="1" applyAlignment="1">
      <alignment horizontal="center" vertical="center"/>
    </xf>
    <xf numFmtId="9" fontId="21" fillId="8" borderId="0" xfId="0" applyNumberFormat="1" applyFont="1" applyFill="1" applyAlignment="1">
      <alignment horizontal="left" vertical="center"/>
    </xf>
    <xf numFmtId="9" fontId="21" fillId="8" borderId="0" xfId="0" applyNumberFormat="1" applyFont="1" applyFill="1" applyAlignment="1">
      <alignment vertical="center"/>
    </xf>
    <xf numFmtId="0" fontId="41" fillId="8" borderId="0" xfId="0" applyFont="1" applyFill="1" applyAlignment="1">
      <alignment vertical="center"/>
    </xf>
    <xf numFmtId="0" fontId="10" fillId="8" borderId="0" xfId="0" applyFont="1" applyFill="1" applyAlignment="1">
      <alignment horizontal="right" vertical="center"/>
    </xf>
    <xf numFmtId="1" fontId="3" fillId="8" borderId="0" xfId="0" applyNumberFormat="1" applyFont="1" applyFill="1" applyAlignment="1">
      <alignment vertical="center"/>
    </xf>
    <xf numFmtId="9" fontId="10" fillId="8" borderId="0" xfId="0" applyNumberFormat="1" applyFont="1" applyFill="1" applyAlignment="1">
      <alignment horizontal="right" vertical="center" wrapText="1"/>
    </xf>
    <xf numFmtId="167" fontId="2" fillId="8" borderId="0" xfId="0" applyNumberFormat="1" applyFont="1" applyFill="1" applyAlignment="1">
      <alignment vertical="center" wrapText="1"/>
    </xf>
    <xf numFmtId="9" fontId="2" fillId="8" borderId="0" xfId="0" applyNumberFormat="1" applyFont="1" applyFill="1" applyAlignment="1">
      <alignment horizontal="center" vertical="center" wrapText="1"/>
    </xf>
    <xf numFmtId="1" fontId="2" fillId="8" borderId="0" xfId="0" applyNumberFormat="1" applyFont="1" applyFill="1" applyAlignment="1">
      <alignment horizontal="left" vertical="center" wrapText="1"/>
    </xf>
    <xf numFmtId="1" fontId="3" fillId="8" borderId="0" xfId="0" applyNumberFormat="1" applyFont="1" applyFill="1" applyAlignment="1">
      <alignment vertical="center" wrapText="1"/>
    </xf>
    <xf numFmtId="0" fontId="41" fillId="5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48" fillId="0" borderId="0" xfId="10" applyFont="1" applyAlignment="1">
      <alignment vertical="center"/>
    </xf>
    <xf numFmtId="0" fontId="48" fillId="20" borderId="0" xfId="10" applyFont="1" applyFill="1" applyAlignment="1">
      <alignment vertical="center"/>
    </xf>
    <xf numFmtId="0" fontId="52" fillId="20" borderId="0" xfId="10" applyFont="1" applyFill="1" applyAlignment="1">
      <alignment horizontal="center" vertical="center"/>
    </xf>
    <xf numFmtId="0" fontId="48" fillId="21" borderId="0" xfId="10" applyFont="1" applyFill="1" applyAlignment="1">
      <alignment vertical="center"/>
    </xf>
    <xf numFmtId="0" fontId="53" fillId="21" borderId="0" xfId="10" applyFont="1" applyFill="1" applyAlignment="1">
      <alignment horizontal="center" vertical="center"/>
    </xf>
    <xf numFmtId="0" fontId="49" fillId="0" borderId="0" xfId="10" applyFont="1" applyAlignment="1">
      <alignment vertical="center"/>
    </xf>
    <xf numFmtId="174" fontId="54" fillId="18" borderId="7" xfId="10" applyNumberFormat="1" applyFont="1" applyFill="1" applyBorder="1" applyAlignment="1">
      <alignment horizontal="center" vertical="center"/>
    </xf>
    <xf numFmtId="0" fontId="53" fillId="21" borderId="0" xfId="10" applyFont="1" applyFill="1" applyAlignment="1">
      <alignment horizontal="right" vertical="center" indent="1"/>
    </xf>
    <xf numFmtId="9" fontId="52" fillId="6" borderId="8" xfId="10" applyNumberFormat="1" applyFont="1" applyFill="1" applyBorder="1" applyAlignment="1">
      <alignment horizontal="center" vertical="center"/>
    </xf>
    <xf numFmtId="38" fontId="53" fillId="22" borderId="8" xfId="10" applyNumberFormat="1" applyFont="1" applyFill="1" applyBorder="1" applyAlignment="1">
      <alignment horizontal="center" vertical="center"/>
    </xf>
    <xf numFmtId="9" fontId="53" fillId="18" borderId="8" xfId="10" applyNumberFormat="1" applyFont="1" applyFill="1" applyBorder="1" applyAlignment="1">
      <alignment horizontal="center" vertical="center"/>
    </xf>
    <xf numFmtId="0" fontId="52" fillId="20" borderId="0" xfId="10" applyFont="1" applyFill="1" applyAlignment="1">
      <alignment horizontal="center"/>
    </xf>
    <xf numFmtId="166" fontId="52" fillId="23" borderId="9" xfId="10" applyNumberFormat="1" applyFont="1" applyFill="1" applyBorder="1" applyAlignment="1">
      <alignment horizontal="center" vertical="center"/>
    </xf>
    <xf numFmtId="9" fontId="53" fillId="18" borderId="9" xfId="10" applyNumberFormat="1" applyFont="1" applyFill="1" applyBorder="1" applyAlignment="1">
      <alignment horizontal="center" vertical="center"/>
    </xf>
    <xf numFmtId="175" fontId="57" fillId="21" borderId="0" xfId="10" applyNumberFormat="1" applyFont="1" applyFill="1" applyAlignment="1">
      <alignment vertical="center"/>
    </xf>
    <xf numFmtId="0" fontId="49" fillId="0" borderId="0" xfId="10" applyFont="1" applyAlignment="1">
      <alignment vertical="top"/>
    </xf>
    <xf numFmtId="174" fontId="58" fillId="24" borderId="0" xfId="10" applyNumberFormat="1" applyFont="1" applyFill="1" applyAlignment="1">
      <alignment horizontal="center" vertical="center"/>
    </xf>
    <xf numFmtId="9" fontId="52" fillId="25" borderId="9" xfId="10" applyNumberFormat="1" applyFont="1" applyFill="1" applyBorder="1" applyAlignment="1">
      <alignment horizontal="center" vertical="center"/>
    </xf>
    <xf numFmtId="0" fontId="59" fillId="21" borderId="0" xfId="10" applyFont="1" applyFill="1" applyAlignment="1">
      <alignment horizontal="right" vertical="center" indent="1"/>
    </xf>
    <xf numFmtId="9" fontId="52" fillId="17" borderId="10" xfId="10" applyNumberFormat="1" applyFont="1" applyFill="1" applyBorder="1" applyAlignment="1">
      <alignment horizontal="center" vertical="center"/>
    </xf>
    <xf numFmtId="9" fontId="60" fillId="17" borderId="9" xfId="10" applyNumberFormat="1" applyFont="1" applyFill="1" applyBorder="1" applyAlignment="1">
      <alignment horizontal="center" vertical="center"/>
    </xf>
    <xf numFmtId="0" fontId="61" fillId="21" borderId="0" xfId="10" applyFont="1" applyFill="1" applyAlignment="1">
      <alignment vertical="center"/>
    </xf>
    <xf numFmtId="1" fontId="62" fillId="18" borderId="0" xfId="10" applyNumberFormat="1" applyFont="1" applyFill="1" applyAlignment="1">
      <alignment horizontal="center" vertical="center"/>
    </xf>
    <xf numFmtId="9" fontId="52" fillId="21" borderId="10" xfId="10" applyNumberFormat="1" applyFont="1" applyFill="1" applyBorder="1" applyAlignment="1">
      <alignment horizontal="center" vertical="center"/>
    </xf>
    <xf numFmtId="38" fontId="53" fillId="21" borderId="8" xfId="10" applyNumberFormat="1" applyFont="1" applyFill="1" applyBorder="1" applyAlignment="1">
      <alignment horizontal="center" vertical="center"/>
    </xf>
    <xf numFmtId="9" fontId="53" fillId="21" borderId="10" xfId="10" applyNumberFormat="1" applyFont="1" applyFill="1" applyBorder="1" applyAlignment="1">
      <alignment horizontal="center" vertical="center"/>
    </xf>
    <xf numFmtId="0" fontId="51" fillId="26" borderId="0" xfId="10" applyFont="1" applyFill="1" applyAlignment="1">
      <alignment horizontal="left" vertical="center" indent="1"/>
    </xf>
    <xf numFmtId="0" fontId="51" fillId="26" borderId="0" xfId="10" applyFont="1" applyFill="1" applyAlignment="1">
      <alignment horizontal="left" vertical="center"/>
    </xf>
    <xf numFmtId="0" fontId="48" fillId="26" borderId="0" xfId="10" applyFont="1" applyFill="1" applyAlignment="1">
      <alignment vertical="center"/>
    </xf>
    <xf numFmtId="0" fontId="53" fillId="21" borderId="0" xfId="10" applyFont="1" applyFill="1" applyAlignment="1">
      <alignment vertical="center"/>
    </xf>
    <xf numFmtId="0" fontId="53" fillId="21" borderId="0" xfId="10" applyFont="1" applyFill="1" applyAlignment="1">
      <alignment horizontal="right" vertical="center"/>
    </xf>
    <xf numFmtId="0" fontId="53" fillId="21" borderId="0" xfId="10" applyFont="1" applyFill="1"/>
    <xf numFmtId="0" fontId="48" fillId="0" borderId="0" xfId="10" applyFont="1"/>
    <xf numFmtId="0" fontId="48" fillId="18" borderId="11" xfId="10" applyFont="1" applyFill="1" applyBorder="1" applyAlignment="1">
      <alignment vertical="center"/>
    </xf>
    <xf numFmtId="0" fontId="48" fillId="18" borderId="11" xfId="10" applyFont="1" applyFill="1" applyBorder="1" applyAlignment="1">
      <alignment horizontal="left" vertical="center"/>
    </xf>
    <xf numFmtId="0" fontId="48" fillId="18" borderId="12" xfId="10" applyFont="1" applyFill="1" applyBorder="1" applyAlignment="1">
      <alignment vertical="center"/>
    </xf>
    <xf numFmtId="9" fontId="3" fillId="18" borderId="14" xfId="10" applyNumberFormat="1" applyFont="1" applyFill="1" applyBorder="1" applyAlignment="1">
      <alignment horizontal="center" vertical="center"/>
    </xf>
    <xf numFmtId="3" fontId="48" fillId="8" borderId="13" xfId="10" applyNumberFormat="1" applyFont="1" applyFill="1" applyBorder="1" applyAlignment="1">
      <alignment horizontal="right" vertical="center"/>
    </xf>
    <xf numFmtId="0" fontId="48" fillId="8" borderId="11" xfId="10" applyFont="1" applyFill="1" applyBorder="1"/>
    <xf numFmtId="0" fontId="48" fillId="18" borderId="15" xfId="10" applyFont="1" applyFill="1" applyBorder="1" applyAlignment="1">
      <alignment vertical="center"/>
    </xf>
    <xf numFmtId="0" fontId="48" fillId="18" borderId="15" xfId="10" applyFont="1" applyFill="1" applyBorder="1" applyAlignment="1">
      <alignment horizontal="left" vertical="center"/>
    </xf>
    <xf numFmtId="0" fontId="48" fillId="18" borderId="16" xfId="10" applyFont="1" applyFill="1" applyBorder="1" applyAlignment="1">
      <alignment vertical="center"/>
    </xf>
    <xf numFmtId="9" fontId="48" fillId="18" borderId="18" xfId="10" applyNumberFormat="1" applyFont="1" applyFill="1" applyBorder="1" applyAlignment="1">
      <alignment horizontal="center" vertical="center"/>
    </xf>
    <xf numFmtId="0" fontId="48" fillId="8" borderId="15" xfId="10" applyFont="1" applyFill="1" applyBorder="1"/>
    <xf numFmtId="9" fontId="3" fillId="18" borderId="18" xfId="10" applyNumberFormat="1" applyFont="1" applyFill="1" applyBorder="1" applyAlignment="1">
      <alignment horizontal="center" vertical="center"/>
    </xf>
    <xf numFmtId="0" fontId="59" fillId="18" borderId="15" xfId="10" applyFont="1" applyFill="1" applyBorder="1" applyAlignment="1">
      <alignment vertical="center"/>
    </xf>
    <xf numFmtId="0" fontId="59" fillId="18" borderId="15" xfId="10" applyFont="1" applyFill="1" applyBorder="1" applyAlignment="1">
      <alignment horizontal="left" vertical="center"/>
    </xf>
    <xf numFmtId="0" fontId="59" fillId="18" borderId="16" xfId="10" applyFont="1" applyFill="1" applyBorder="1" applyAlignment="1">
      <alignment vertical="center"/>
    </xf>
    <xf numFmtId="9" fontId="59" fillId="18" borderId="18" xfId="10" applyNumberFormat="1" applyFont="1" applyFill="1" applyBorder="1" applyAlignment="1">
      <alignment horizontal="center" vertical="center"/>
    </xf>
    <xf numFmtId="3" fontId="59" fillId="8" borderId="13" xfId="10" applyNumberFormat="1" applyFont="1" applyFill="1" applyBorder="1" applyAlignment="1">
      <alignment horizontal="right" vertical="center"/>
    </xf>
    <xf numFmtId="166" fontId="57" fillId="21" borderId="21" xfId="10" applyNumberFormat="1" applyFont="1" applyFill="1" applyBorder="1" applyAlignment="1">
      <alignment horizontal="center" vertical="center"/>
    </xf>
    <xf numFmtId="3" fontId="57" fillId="21" borderId="21" xfId="10" applyNumberFormat="1" applyFont="1" applyFill="1" applyBorder="1" applyAlignment="1">
      <alignment horizontal="right" vertical="center"/>
    </xf>
    <xf numFmtId="0" fontId="53" fillId="21" borderId="21" xfId="10" applyFont="1" applyFill="1" applyBorder="1"/>
    <xf numFmtId="174" fontId="65" fillId="18" borderId="7" xfId="10" applyNumberFormat="1" applyFont="1" applyFill="1" applyBorder="1" applyAlignment="1">
      <alignment horizontal="center" vertical="center"/>
    </xf>
    <xf numFmtId="9" fontId="60" fillId="21" borderId="9" xfId="10" applyNumberFormat="1" applyFont="1" applyFill="1" applyBorder="1" applyAlignment="1">
      <alignment horizontal="center" vertical="center"/>
    </xf>
    <xf numFmtId="0" fontId="55" fillId="21" borderId="0" xfId="10" applyFont="1" applyFill="1" applyAlignment="1">
      <alignment vertical="center"/>
    </xf>
    <xf numFmtId="0" fontId="48" fillId="18" borderId="15" xfId="10" applyFont="1" applyFill="1" applyBorder="1" applyAlignment="1">
      <alignment horizontal="left" vertical="center" indent="1"/>
    </xf>
    <xf numFmtId="0" fontId="46" fillId="0" borderId="0" xfId="10"/>
    <xf numFmtId="9" fontId="24" fillId="0" borderId="0" xfId="0" applyNumberFormat="1" applyFont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3" fontId="21" fillId="0" borderId="5" xfId="0" applyNumberFormat="1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30" fillId="9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17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1" fontId="3" fillId="5" borderId="0" xfId="0" applyNumberFormat="1" applyFont="1" applyFill="1" applyAlignment="1">
      <alignment horizontal="center" vertical="center"/>
    </xf>
    <xf numFmtId="166" fontId="2" fillId="8" borderId="0" xfId="0" applyNumberFormat="1" applyFont="1" applyFill="1" applyAlignment="1">
      <alignment horizontal="center" vertical="top" wrapText="1"/>
    </xf>
    <xf numFmtId="166" fontId="2" fillId="8" borderId="0" xfId="0" applyNumberFormat="1" applyFont="1" applyFill="1" applyAlignment="1">
      <alignment horizontal="center" vertical="center"/>
    </xf>
    <xf numFmtId="166" fontId="3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2" fontId="2" fillId="8" borderId="0" xfId="0" applyNumberFormat="1" applyFont="1" applyFill="1" applyAlignment="1">
      <alignment horizontal="left" vertical="center"/>
    </xf>
    <xf numFmtId="9" fontId="2" fillId="0" borderId="0" xfId="0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71" fontId="43" fillId="5" borderId="0" xfId="0" applyNumberFormat="1" applyFont="1" applyFill="1" applyAlignment="1">
      <alignment horizontal="center" vertical="center"/>
    </xf>
    <xf numFmtId="171" fontId="45" fillId="8" borderId="0" xfId="0" applyNumberFormat="1" applyFont="1" applyFill="1" applyAlignment="1">
      <alignment horizontal="center" vertical="center"/>
    </xf>
    <xf numFmtId="171" fontId="44" fillId="8" borderId="0" xfId="0" applyNumberFormat="1" applyFont="1" applyFill="1" applyAlignment="1">
      <alignment horizontal="center" vertical="center"/>
    </xf>
    <xf numFmtId="171" fontId="45" fillId="0" borderId="0" xfId="0" applyNumberFormat="1" applyFont="1" applyAlignment="1">
      <alignment horizontal="center" vertical="center"/>
    </xf>
    <xf numFmtId="171" fontId="45" fillId="5" borderId="0" xfId="0" applyNumberFormat="1" applyFont="1" applyFill="1" applyAlignment="1">
      <alignment horizontal="center" vertical="center"/>
    </xf>
    <xf numFmtId="171" fontId="2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71" fontId="43" fillId="0" borderId="0" xfId="0" applyNumberFormat="1" applyFont="1" applyAlignment="1">
      <alignment horizontal="center" vertical="center"/>
    </xf>
    <xf numFmtId="171" fontId="44" fillId="0" borderId="0" xfId="0" applyNumberFormat="1" applyFont="1" applyAlignment="1">
      <alignment horizontal="center" vertical="center"/>
    </xf>
    <xf numFmtId="171" fontId="11" fillId="8" borderId="0" xfId="0" applyNumberFormat="1" applyFont="1" applyFill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17" borderId="0" xfId="0" applyFont="1" applyFill="1" applyAlignment="1">
      <alignment horizontal="center" vertical="center"/>
    </xf>
    <xf numFmtId="0" fontId="23" fillId="17" borderId="3" xfId="0" applyFont="1" applyFill="1" applyBorder="1" applyAlignment="1">
      <alignment horizontal="center" vertical="center"/>
    </xf>
    <xf numFmtId="0" fontId="23" fillId="15" borderId="0" xfId="0" applyFont="1" applyFill="1" applyAlignment="1">
      <alignment horizontal="center" vertical="center"/>
    </xf>
    <xf numFmtId="0" fontId="23" fillId="15" borderId="3" xfId="0" applyFont="1" applyFill="1" applyBorder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1" fontId="10" fillId="8" borderId="0" xfId="0" applyNumberFormat="1" applyFont="1" applyFill="1" applyAlignment="1">
      <alignment horizontal="center" vertical="center"/>
    </xf>
    <xf numFmtId="171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 wrapText="1"/>
    </xf>
    <xf numFmtId="0" fontId="12" fillId="8" borderId="0" xfId="0" applyFont="1" applyFill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3" fontId="12" fillId="8" borderId="5" xfId="0" applyNumberFormat="1" applyFont="1" applyFill="1" applyBorder="1" applyAlignment="1">
      <alignment horizontal="center" vertical="center"/>
    </xf>
    <xf numFmtId="3" fontId="12" fillId="8" borderId="0" xfId="0" applyNumberFormat="1" applyFont="1" applyFill="1" applyAlignment="1">
      <alignment horizontal="center" vertical="center"/>
    </xf>
    <xf numFmtId="3" fontId="22" fillId="8" borderId="5" xfId="0" applyNumberFormat="1" applyFont="1" applyFill="1" applyBorder="1" applyAlignment="1">
      <alignment horizontal="center" vertical="center"/>
    </xf>
    <xf numFmtId="3" fontId="22" fillId="8" borderId="0" xfId="0" applyNumberFormat="1" applyFont="1" applyFill="1" applyAlignment="1">
      <alignment horizontal="center" vertical="center"/>
    </xf>
    <xf numFmtId="171" fontId="30" fillId="9" borderId="3" xfId="0" applyNumberFormat="1" applyFont="1" applyFill="1" applyBorder="1" applyAlignment="1">
      <alignment horizontal="center" vertical="center"/>
    </xf>
    <xf numFmtId="171" fontId="30" fillId="9" borderId="4" xfId="0" applyNumberFormat="1" applyFont="1" applyFill="1" applyBorder="1" applyAlignment="1">
      <alignment horizontal="center" vertical="center"/>
    </xf>
    <xf numFmtId="9" fontId="30" fillId="9" borderId="4" xfId="0" applyNumberFormat="1" applyFont="1" applyFill="1" applyBorder="1" applyAlignment="1">
      <alignment horizontal="center" vertical="center"/>
    </xf>
    <xf numFmtId="1" fontId="30" fillId="9" borderId="5" xfId="0" applyNumberFormat="1" applyFont="1" applyFill="1" applyBorder="1" applyAlignment="1">
      <alignment horizontal="right" vertical="center" indent="1"/>
    </xf>
    <xf numFmtId="1" fontId="30" fillId="9" borderId="0" xfId="0" applyNumberFormat="1" applyFont="1" applyFill="1" applyAlignment="1">
      <alignment horizontal="right" vertical="center" indent="1"/>
    </xf>
    <xf numFmtId="0" fontId="2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9" fontId="21" fillId="8" borderId="0" xfId="0" applyNumberFormat="1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3"/>
    </xf>
    <xf numFmtId="0" fontId="19" fillId="8" borderId="0" xfId="0" applyFont="1" applyFill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29" fillId="9" borderId="0" xfId="0" applyFont="1" applyFill="1" applyAlignment="1">
      <alignment horizontal="center" vertical="center"/>
    </xf>
    <xf numFmtId="170" fontId="2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" fontId="30" fillId="9" borderId="0" xfId="0" applyNumberFormat="1" applyFont="1" applyFill="1" applyAlignment="1">
      <alignment horizontal="right" vertical="center"/>
    </xf>
    <xf numFmtId="0" fontId="31" fillId="0" borderId="0" xfId="0" applyFont="1" applyAlignment="1">
      <alignment horizontal="left" vertical="center" indent="3"/>
    </xf>
    <xf numFmtId="3" fontId="12" fillId="8" borderId="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172" fontId="20" fillId="0" borderId="0" xfId="0" applyNumberFormat="1" applyFont="1" applyAlignment="1">
      <alignment horizontal="center" vertical="center"/>
    </xf>
    <xf numFmtId="171" fontId="21" fillId="8" borderId="0" xfId="0" applyNumberFormat="1" applyFont="1" applyFill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0" fontId="23" fillId="11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3" fontId="24" fillId="8" borderId="0" xfId="0" applyNumberFormat="1" applyFont="1" applyFill="1" applyAlignment="1">
      <alignment horizontal="center" vertical="center"/>
    </xf>
    <xf numFmtId="171" fontId="24" fillId="9" borderId="0" xfId="0" applyNumberFormat="1" applyFont="1" applyFill="1" applyAlignment="1">
      <alignment horizontal="center" vertical="center" wrapText="1"/>
    </xf>
    <xf numFmtId="171" fontId="30" fillId="0" borderId="0" xfId="0" applyNumberFormat="1" applyFont="1" applyAlignment="1">
      <alignment horizontal="center" vertical="center"/>
    </xf>
    <xf numFmtId="171" fontId="34" fillId="0" borderId="0" xfId="0" applyNumberFormat="1" applyFont="1" applyAlignment="1">
      <alignment horizontal="center" vertical="center"/>
    </xf>
    <xf numFmtId="171" fontId="11" fillId="13" borderId="0" xfId="0" applyNumberFormat="1" applyFont="1" applyFill="1" applyAlignment="1">
      <alignment horizontal="center" vertical="center"/>
    </xf>
    <xf numFmtId="171" fontId="11" fillId="9" borderId="0" xfId="0" applyNumberFormat="1" applyFont="1" applyFill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171" fontId="11" fillId="0" borderId="0" xfId="0" applyNumberFormat="1" applyFont="1" applyAlignment="1">
      <alignment horizontal="center" vertical="center"/>
    </xf>
    <xf numFmtId="171" fontId="10" fillId="0" borderId="0" xfId="0" applyNumberFormat="1" applyFont="1" applyAlignment="1">
      <alignment horizontal="center" vertical="center"/>
    </xf>
    <xf numFmtId="2" fontId="10" fillId="8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9" fontId="3" fillId="8" borderId="0" xfId="0" applyNumberFormat="1" applyFont="1" applyFill="1" applyAlignment="1">
      <alignment horizontal="center" vertical="center"/>
    </xf>
    <xf numFmtId="10" fontId="3" fillId="8" borderId="0" xfId="0" applyNumberFormat="1" applyFont="1" applyFill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71" fontId="3" fillId="8" borderId="0" xfId="0" applyNumberFormat="1" applyFont="1" applyFill="1" applyAlignment="1">
      <alignment horizontal="center" vertical="center"/>
    </xf>
    <xf numFmtId="172" fontId="3" fillId="8" borderId="0" xfId="0" applyNumberFormat="1" applyFont="1" applyFill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16" borderId="0" xfId="0" applyFont="1" applyFill="1" applyAlignment="1">
      <alignment horizontal="left" vertical="center" indent="3"/>
    </xf>
    <xf numFmtId="171" fontId="3" fillId="16" borderId="0" xfId="0" applyNumberFormat="1" applyFont="1" applyFill="1" applyAlignment="1">
      <alignment horizontal="center" vertical="center"/>
    </xf>
    <xf numFmtId="0" fontId="31" fillId="5" borderId="0" xfId="0" applyFont="1" applyFill="1" applyAlignment="1">
      <alignment horizontal="left" vertical="center" indent="3"/>
    </xf>
    <xf numFmtId="9" fontId="3" fillId="27" borderId="0" xfId="0" applyNumberFormat="1" applyFont="1" applyFill="1" applyAlignment="1">
      <alignment horizontal="center" vertical="center"/>
    </xf>
    <xf numFmtId="9" fontId="11" fillId="27" borderId="0" xfId="0" applyNumberFormat="1" applyFont="1" applyFill="1" applyAlignment="1">
      <alignment horizontal="center" vertical="center"/>
    </xf>
    <xf numFmtId="3" fontId="24" fillId="16" borderId="0" xfId="0" applyNumberFormat="1" applyFont="1" applyFill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170" fontId="3" fillId="8" borderId="0" xfId="0" applyNumberFormat="1" applyFont="1" applyFill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48" fillId="18" borderId="17" xfId="10" applyFont="1" applyFill="1" applyBorder="1" applyAlignment="1">
      <alignment horizontal="center" vertical="center"/>
    </xf>
    <xf numFmtId="0" fontId="48" fillId="18" borderId="16" xfId="10" applyFont="1" applyFill="1" applyBorder="1" applyAlignment="1">
      <alignment horizontal="center" vertical="center"/>
    </xf>
    <xf numFmtId="0" fontId="59" fillId="18" borderId="19" xfId="10" applyFont="1" applyFill="1" applyBorder="1" applyAlignment="1">
      <alignment horizontal="center" vertical="center"/>
    </xf>
    <xf numFmtId="0" fontId="59" fillId="18" borderId="20" xfId="10" applyFont="1" applyFill="1" applyBorder="1" applyAlignment="1">
      <alignment horizontal="center" vertical="center"/>
    </xf>
    <xf numFmtId="0" fontId="53" fillId="21" borderId="21" xfId="10" applyFont="1" applyFill="1" applyBorder="1" applyAlignment="1">
      <alignment horizontal="right" vertical="center"/>
    </xf>
    <xf numFmtId="0" fontId="53" fillId="21" borderId="21" xfId="10" applyFont="1" applyFill="1" applyBorder="1" applyAlignment="1">
      <alignment horizontal="center" vertical="center"/>
    </xf>
    <xf numFmtId="0" fontId="64" fillId="18" borderId="0" xfId="11" applyFont="1" applyFill="1" applyAlignment="1">
      <alignment horizontal="left" vertical="center"/>
    </xf>
    <xf numFmtId="0" fontId="64" fillId="18" borderId="0" xfId="10" applyFont="1" applyFill="1" applyAlignment="1">
      <alignment horizontal="left" vertical="top"/>
    </xf>
    <xf numFmtId="0" fontId="53" fillId="21" borderId="0" xfId="10" applyFont="1" applyFill="1" applyAlignment="1">
      <alignment horizontal="left" vertical="center"/>
    </xf>
    <xf numFmtId="0" fontId="53" fillId="21" borderId="0" xfId="10" applyFont="1" applyFill="1" applyAlignment="1">
      <alignment horizontal="center" vertical="center"/>
    </xf>
    <xf numFmtId="0" fontId="48" fillId="18" borderId="13" xfId="10" applyFont="1" applyFill="1" applyBorder="1" applyAlignment="1">
      <alignment horizontal="center" vertical="center"/>
    </xf>
    <xf numFmtId="0" fontId="48" fillId="18" borderId="12" xfId="10" applyFont="1" applyFill="1" applyBorder="1" applyAlignment="1">
      <alignment horizontal="center" vertical="center"/>
    </xf>
    <xf numFmtId="0" fontId="47" fillId="18" borderId="0" xfId="10" applyFont="1" applyFill="1" applyAlignment="1">
      <alignment horizontal="left" vertical="center"/>
    </xf>
    <xf numFmtId="0" fontId="49" fillId="0" borderId="0" xfId="10" applyFont="1" applyAlignment="1">
      <alignment horizontal="left" vertical="center" wrapText="1"/>
    </xf>
    <xf numFmtId="0" fontId="50" fillId="19" borderId="0" xfId="10" applyFont="1" applyFill="1" applyAlignment="1">
      <alignment horizontal="center" vertical="center"/>
    </xf>
    <xf numFmtId="0" fontId="51" fillId="20" borderId="0" xfId="10" applyFont="1" applyFill="1" applyAlignment="1">
      <alignment horizontal="center" vertical="center"/>
    </xf>
    <xf numFmtId="0" fontId="55" fillId="21" borderId="0" xfId="10" applyFont="1" applyFill="1" applyAlignment="1">
      <alignment horizontal="left" vertical="center" textRotation="180"/>
    </xf>
    <xf numFmtId="174" fontId="56" fillId="21" borderId="0" xfId="10" applyNumberFormat="1" applyFont="1" applyFill="1" applyAlignment="1">
      <alignment horizontal="left" vertical="center"/>
    </xf>
    <xf numFmtId="0" fontId="56" fillId="21" borderId="0" xfId="10" applyFont="1" applyFill="1" applyAlignment="1">
      <alignment horizontal="left" vertical="center"/>
    </xf>
    <xf numFmtId="3" fontId="57" fillId="21" borderId="21" xfId="10" applyNumberFormat="1" applyFont="1" applyFill="1" applyBorder="1" applyAlignment="1">
      <alignment horizontal="center" vertical="center"/>
    </xf>
    <xf numFmtId="0" fontId="48" fillId="18" borderId="15" xfId="10" applyFont="1" applyFill="1" applyBorder="1" applyAlignment="1">
      <alignment horizontal="left" vertical="center" indent="1"/>
    </xf>
    <xf numFmtId="3" fontId="48" fillId="8" borderId="17" xfId="10" applyNumberFormat="1" applyFont="1" applyFill="1" applyBorder="1" applyAlignment="1">
      <alignment horizontal="center" vertical="center"/>
    </xf>
    <xf numFmtId="3" fontId="48" fillId="8" borderId="15" xfId="10" applyNumberFormat="1" applyFont="1" applyFill="1" applyBorder="1" applyAlignment="1">
      <alignment horizontal="center" vertical="center"/>
    </xf>
    <xf numFmtId="0" fontId="48" fillId="18" borderId="22" xfId="10" applyFont="1" applyFill="1" applyBorder="1" applyAlignment="1">
      <alignment horizontal="left" vertical="center" indent="1"/>
    </xf>
    <xf numFmtId="0" fontId="48" fillId="18" borderId="19" xfId="10" applyFont="1" applyFill="1" applyBorder="1" applyAlignment="1">
      <alignment horizontal="center" vertical="center"/>
    </xf>
    <xf numFmtId="0" fontId="48" fillId="18" borderId="20" xfId="10" applyFont="1" applyFill="1" applyBorder="1" applyAlignment="1">
      <alignment horizontal="center" vertical="center"/>
    </xf>
    <xf numFmtId="3" fontId="48" fillId="8" borderId="19" xfId="10" applyNumberFormat="1" applyFont="1" applyFill="1" applyBorder="1" applyAlignment="1">
      <alignment horizontal="center" vertical="center"/>
    </xf>
    <xf numFmtId="3" fontId="48" fillId="8" borderId="22" xfId="10" applyNumberFormat="1" applyFont="1" applyFill="1" applyBorder="1" applyAlignment="1">
      <alignment horizontal="center" vertical="center"/>
    </xf>
    <xf numFmtId="0" fontId="48" fillId="18" borderId="11" xfId="10" applyFont="1" applyFill="1" applyBorder="1" applyAlignment="1">
      <alignment horizontal="left" vertical="center" indent="1"/>
    </xf>
    <xf numFmtId="3" fontId="48" fillId="8" borderId="13" xfId="10" applyNumberFormat="1" applyFont="1" applyFill="1" applyBorder="1" applyAlignment="1">
      <alignment horizontal="center" vertical="center"/>
    </xf>
    <xf numFmtId="3" fontId="48" fillId="8" borderId="11" xfId="10" applyNumberFormat="1" applyFont="1" applyFill="1" applyBorder="1" applyAlignment="1">
      <alignment horizontal="center" vertical="center"/>
    </xf>
    <xf numFmtId="0" fontId="53" fillId="21" borderId="0" xfId="10" applyFont="1" applyFill="1" applyAlignment="1">
      <alignment horizontal="left" vertical="center" indent="1"/>
    </xf>
    <xf numFmtId="0" fontId="1" fillId="0" borderId="0" xfId="0" applyFont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3" fontId="4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165" fontId="15" fillId="7" borderId="0" xfId="0" applyNumberFormat="1" applyFont="1" applyFill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4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</cellXfs>
  <cellStyles count="12">
    <cellStyle name="Гиперссылка" xfId="11" builtinId="8"/>
    <cellStyle name="Дата" xfId="6" xr:uid="{73586420-A485-4730-B580-8DB9B56619FE}"/>
    <cellStyle name="Заголовки таблицы по центру" xfId="2" xr:uid="{E54A33C1-C9D7-4ED9-AA88-485A7CCDB7A5}"/>
    <cellStyle name="Нижняя граница" xfId="4" xr:uid="{9990DC2D-3509-4BBC-A1EB-C6468372A376}"/>
    <cellStyle name="Обычный" xfId="0" builtinId="0"/>
    <cellStyle name="Обычный 2" xfId="8" xr:uid="{9D5D5808-75FA-46AE-9D6C-4AB772FAF3D3}"/>
    <cellStyle name="Обычный 3" xfId="9" xr:uid="{0FF71C64-585E-4E57-B617-F4A1EB119357}"/>
    <cellStyle name="Обычный 5" xfId="10" xr:uid="{6FD4C196-C8F0-4E1B-AE0D-CF6265D7B7B0}"/>
    <cellStyle name="Подпись" xfId="7" xr:uid="{F9B8BD46-3BCE-4803-8C74-E78BAB1E4108}"/>
    <cellStyle name="Поставьте подпись" xfId="5" xr:uid="{F6342C85-585C-485E-B03B-4957A4357BBB}"/>
    <cellStyle name="Срок оплаты" xfId="3" xr:uid="{7764A2E1-9E86-43E7-940C-BC4373C548AB}"/>
    <cellStyle name="Телефон" xfId="1" xr:uid="{DF08C347-35C5-4E6A-A908-927B6BEEA4E8}"/>
  </cellStyles>
  <dxfs count="41"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1" formatCode="[$$-409]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70" formatCode="[$$-409]#,##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165" formatCode="0.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 patternType="solid">
          <fgColor theme="9"/>
          <bgColor theme="9"/>
        </patternFill>
      </fill>
      <border>
        <bottom style="thin">
          <color theme="3" tint="0.749961851863155"/>
        </bottom>
      </border>
    </dxf>
    <dxf>
      <fill>
        <patternFill patternType="solid">
          <fgColor theme="9"/>
          <bgColor theme="9"/>
        </patternFill>
      </fill>
    </dxf>
    <dxf>
      <font>
        <b/>
        <i val="0"/>
      </font>
      <fill>
        <patternFill patternType="solid">
          <fgColor theme="9"/>
          <bgColor theme="9"/>
        </patternFill>
      </fill>
    </dxf>
    <dxf>
      <font>
        <b val="0"/>
        <i val="0"/>
      </font>
      <fill>
        <patternFill patternType="solid">
          <fgColor auto="1"/>
        </patternFill>
      </fill>
      <border>
        <left/>
        <right/>
        <bottom/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/>
      </border>
    </dxf>
    <dxf>
      <border>
        <left/>
        <right/>
        <top style="thin">
          <color theme="4"/>
        </top>
        <bottom style="thin">
          <color theme="4"/>
        </bottom>
        <vertical style="medium">
          <color rgb="FFF5F9FE"/>
        </vertical>
        <horizontal style="thin">
          <color theme="4"/>
        </horizontal>
      </border>
    </dxf>
  </dxfs>
  <tableStyles count="1" defaultTableStyle="TableStyleMedium2" defaultPivotStyle="PivotStyleLight16">
    <tableStyle name="Предложение по строительству" pivot="0" count="6" xr9:uid="{1A4C177C-E68B-419C-8D72-98C535EB605E}">
      <tableStyleElement type="wholeTable" dxfId="40"/>
      <tableStyleElement type="headerRow" dxfId="39"/>
      <tableStyleElement type="totalRow" dxfId="38"/>
      <tableStyleElement type="lastColumn" dxfId="37"/>
      <tableStyleElement type="lastHeaderCell" dxfId="36"/>
      <tableStyleElement type="lastTotalCell" dxfId="35"/>
    </tableStyle>
  </tableStyles>
  <colors>
    <mruColors>
      <color rgb="FFFF9B9B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48948142690834E-2"/>
          <c:y val="0.13100488037306665"/>
          <c:w val="0.80527208710967824"/>
          <c:h val="0.7156199699071421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8-4717-A547-FCD9141A62B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8-4717-A547-FCD9141A62B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8-4717-A547-FCD9141A62B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8-4717-A547-FCD9141A62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'ИСТОЧНИКИ Поиск+Карты+Приоритет'!$F$4:$F$7</c:f>
              <c:strCache>
                <c:ptCount val="4"/>
                <c:pt idx="0">
                  <c:v>Колдунщик</c:v>
                </c:pt>
                <c:pt idx="1">
                  <c:v>Навигатор</c:v>
                </c:pt>
                <c:pt idx="2">
                  <c:v>Карты</c:v>
                </c:pt>
                <c:pt idx="3">
                  <c:v>Приоритет</c:v>
                </c:pt>
              </c:strCache>
            </c:strRef>
          </c:cat>
          <c:val>
            <c:numRef>
              <c:f>'ИСТОЧНИКИ Поиск+Карты+Приоритет'!$G$4:$G$7</c:f>
              <c:numCache>
                <c:formatCode>0.0%</c:formatCode>
                <c:ptCount val="4"/>
                <c:pt idx="0" formatCode="0%">
                  <c:v>0.84212993343957998</c:v>
                </c:pt>
                <c:pt idx="1">
                  <c:v>9.4684541108090367E-3</c:v>
                </c:pt>
                <c:pt idx="2" formatCode="0%">
                  <c:v>7.5747632886472294E-2</c:v>
                </c:pt>
                <c:pt idx="3" formatCode="0%">
                  <c:v>7.2653979563138654E-2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8-4717-A547-FCD9141A6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51443772147597E-2"/>
          <c:y val="0.12313490655415578"/>
          <c:w val="0.80527208710967824"/>
          <c:h val="0.71561996990714216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18-49FB-8E42-C57C4794214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18-49FB-8E42-C57C4794214D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18-49FB-8E42-C57C47942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'ИСТОЧНИКИ Поиск+Карты+Навигатор'!$F$4:$F$6</c:f>
              <c:strCache>
                <c:ptCount val="3"/>
                <c:pt idx="0">
                  <c:v>Колдунщик</c:v>
                </c:pt>
                <c:pt idx="1">
                  <c:v>Навигатор</c:v>
                </c:pt>
                <c:pt idx="2">
                  <c:v>Карты</c:v>
                </c:pt>
              </c:strCache>
            </c:strRef>
          </c:cat>
          <c:val>
            <c:numRef>
              <c:f>'ИСТОЧНИКИ Поиск+Карты+Навигатор'!$G$4:$G$6</c:f>
              <c:numCache>
                <c:formatCode>0.0%</c:formatCode>
                <c:ptCount val="3"/>
                <c:pt idx="0" formatCode="0%">
                  <c:v>0.83001753360607833</c:v>
                </c:pt>
                <c:pt idx="1">
                  <c:v>1.0613676212741088E-2</c:v>
                </c:pt>
                <c:pt idx="2" formatCode="0%">
                  <c:v>0.15936879018118061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18-49FB-8E42-C57C4794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1AE677E3-5A39-48B7-A6B0-8C7264969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01724F08-3FE3-4892-AB21-EF69DE368913}"/>
            </a:ext>
          </a:extLst>
        </xdr:cNvPr>
        <xdr:cNvSpPr txBox="1"/>
      </xdr:nvSpPr>
      <xdr:spPr>
        <a:xfrm>
          <a:off x="238125" y="1314450"/>
          <a:ext cx="435292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на Яндекс.Картах</a:t>
          </a: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9A04BC8-26C2-4B42-AC39-9231A97CD3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6960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859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8AAF9210-B12C-4987-A16E-5B7928EFC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859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13C686D6-9190-42A7-8B93-A2D569603593}"/>
            </a:ext>
          </a:extLst>
        </xdr:cNvPr>
        <xdr:cNvSpPr txBox="1"/>
      </xdr:nvSpPr>
      <xdr:spPr>
        <a:xfrm>
          <a:off x="238125" y="1314450"/>
          <a:ext cx="427672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Геореклама на Яндекс.Картах</a:t>
          </a: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8A59B8A-0935-41FE-BBD2-759DFA78AD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647826"/>
          <a:ext cx="66960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47824"/>
    <xdr:pic>
      <xdr:nvPicPr>
        <xdr:cNvPr id="2" name="Рисунок 14">
          <a:extLst>
            <a:ext uri="{FF2B5EF4-FFF2-40B4-BE49-F238E27FC236}">
              <a16:creationId xmlns:a16="http://schemas.microsoft.com/office/drawing/2014/main" id="{A07B8A20-2A34-45CC-8F97-4F0ED594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47824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D1BE5615-FF30-422B-9B45-B71F65930959}"/>
            </a:ext>
          </a:extLst>
        </xdr:cNvPr>
        <xdr:cNvSpPr txBox="1"/>
      </xdr:nvSpPr>
      <xdr:spPr>
        <a:xfrm>
          <a:off x="238125" y="952500"/>
          <a:ext cx="4524375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АБОНЕНТКА: карты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геоблок поиска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C7C474C0-9467-43A2-BAE9-E3E4950F30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285876"/>
          <a:ext cx="671512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7239000" cy="1657350"/>
    <xdr:pic>
      <xdr:nvPicPr>
        <xdr:cNvPr id="2" name="Рисунок 14">
          <a:extLst>
            <a:ext uri="{FF2B5EF4-FFF2-40B4-BE49-F238E27FC236}">
              <a16:creationId xmlns:a16="http://schemas.microsoft.com/office/drawing/2014/main" id="{392573F4-52C9-4141-BBFD-587A7A977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239000" cy="1657350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7</xdr:row>
      <xdr:rowOff>47625</xdr:rowOff>
    </xdr:from>
    <xdr:to>
      <xdr:col>6</xdr:col>
      <xdr:colOff>114300</xdr:colOff>
      <xdr:row>10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4363CC9A-267A-4417-B864-DCC4F640D4D4}"/>
            </a:ext>
          </a:extLst>
        </xdr:cNvPr>
        <xdr:cNvSpPr txBox="1"/>
      </xdr:nvSpPr>
      <xdr:spPr>
        <a:xfrm>
          <a:off x="238125" y="952500"/>
          <a:ext cx="44386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РАЗОВО: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к</a:t>
          </a: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арты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геоблок поиска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10</xdr:col>
      <xdr:colOff>771525</xdr:colOff>
      <xdr:row>10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58CF64BA-BBD3-497D-9533-8E0172E6E19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285876"/>
          <a:ext cx="675322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896099" cy="1485900"/>
    <xdr:pic>
      <xdr:nvPicPr>
        <xdr:cNvPr id="2" name="Рисунок 14">
          <a:extLst>
            <a:ext uri="{FF2B5EF4-FFF2-40B4-BE49-F238E27FC236}">
              <a16:creationId xmlns:a16="http://schemas.microsoft.com/office/drawing/2014/main" id="{4EAD140B-4B4D-4A73-AD4B-4B16F05F3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896099" cy="1485900"/>
        </a:xfrm>
        <a:prstGeom prst="rect">
          <a:avLst/>
        </a:prstGeom>
      </xdr:spPr>
    </xdr:pic>
    <xdr:clientData/>
  </xdr:oneCellAnchor>
  <xdr:twoCellAnchor>
    <xdr:from>
      <xdr:col>0</xdr:col>
      <xdr:colOff>238125</xdr:colOff>
      <xdr:row>5</xdr:row>
      <xdr:rowOff>47625</xdr:rowOff>
    </xdr:from>
    <xdr:to>
      <xdr:col>7</xdr:col>
      <xdr:colOff>0</xdr:colOff>
      <xdr:row>8</xdr:row>
      <xdr:rowOff>19050</xdr:rowOff>
    </xdr:to>
    <xdr:sp macro="" textlink="">
      <xdr:nvSpPr>
        <xdr:cNvPr id="3" name="Надпись 1" descr="Инвентарный список" title="Заголовок 1">
          <a:extLst>
            <a:ext uri="{FF2B5EF4-FFF2-40B4-BE49-F238E27FC236}">
              <a16:creationId xmlns:a16="http://schemas.microsoft.com/office/drawing/2014/main" id="{218412D1-6775-4966-8DBB-40FA263D4FE3}"/>
            </a:ext>
          </a:extLst>
        </xdr:cNvPr>
        <xdr:cNvSpPr txBox="1"/>
      </xdr:nvSpPr>
      <xdr:spPr>
        <a:xfrm>
          <a:off x="238125" y="952500"/>
          <a:ext cx="4514850" cy="542925"/>
        </a:xfrm>
        <a:prstGeom prst="rect">
          <a:avLst/>
        </a:prstGeom>
        <a:solidFill>
          <a:srgbClr val="004F6D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" sz="200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Трафик ПЛАТНЫЙ или</a:t>
          </a:r>
          <a:r>
            <a:rPr lang="ru" sz="2000" baseline="0">
              <a:solidFill>
                <a:srgbClr val="35A7D3"/>
              </a:solidFill>
              <a:latin typeface="Calibri" panose="020F0502020204030204" pitchFamily="34" charset="0"/>
              <a:ea typeface="+mn-ea"/>
              <a:cs typeface="+mn-cs"/>
            </a:rPr>
            <a:t> БЕСПЛАТНЫЙ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" sz="2000">
            <a:solidFill>
              <a:srgbClr val="35A7D3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9</xdr:col>
      <xdr:colOff>771525</xdr:colOff>
      <xdr:row>8</xdr:row>
      <xdr:rowOff>19050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7C2CA06A-0AD2-4E09-89F2-AEA2EA859B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285876"/>
          <a:ext cx="6543675" cy="209549"/>
        </a:xfrm>
        <a:prstGeom prst="rect">
          <a:avLst/>
        </a:prstGeom>
        <a:solidFill>
          <a:srgbClr val="004F6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209548</xdr:colOff>
      <xdr:row>1</xdr:row>
      <xdr:rowOff>171450</xdr:rowOff>
    </xdr:from>
    <xdr:to>
      <xdr:col>12</xdr:col>
      <xdr:colOff>152400</xdr:colOff>
      <xdr:row>7</xdr:row>
      <xdr:rowOff>209550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01A15A2-D1F8-47F1-90DC-0554A686D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95248</xdr:colOff>
      <xdr:row>1</xdr:row>
      <xdr:rowOff>161924</xdr:rowOff>
    </xdr:from>
    <xdr:to>
      <xdr:col>12</xdr:col>
      <xdr:colOff>57150</xdr:colOff>
      <xdr:row>8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2F8F13CA-B4E4-49A1-88B5-5931F5DB0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C4791D-5812-486E-83D0-E03A829920F7}" name="ГОРОДА3" displayName="ГОРОДА3" ref="M60:Q84" totalsRowShown="0" headerRowDxfId="27" dataDxfId="26">
  <autoFilter ref="M60:Q84" xr:uid="{3D96CCC1-2B07-4677-A1E5-3F8242E09BC1}"/>
  <tableColumns count="5">
    <tableColumn id="1" xr3:uid="{FBECBD7D-9992-4227-810C-94C50693B470}" name="Города" dataDxfId="25"/>
    <tableColumn id="2" xr3:uid="{24B79B6F-5B9D-440C-96C9-D6296A99A382}" name="Население" dataDxfId="24"/>
    <tableColumn id="3" xr3:uid="{E2925249-61CF-4224-A88B-5A743571D0F0}" name="К-посетителя РОЛЬШТОРЫ" dataDxfId="23"/>
    <tableColumn id="4" xr3:uid="{DBC0AFEC-2787-42C5-BD63-DB3314CA7BA6}" name="Цена клика" dataDxfId="22"/>
    <tableColumn id="5" xr3:uid="{C5242657-D1EF-4E88-8A93-47BCF0C0C64B}" name="Геореклама     1 объекта" data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F300B7-BEF7-43AA-9224-A773F19FAE5F}" name="ГОРОДА36" displayName="ГОРОДА36" ref="M60:Q84" totalsRowShown="0" headerRowDxfId="20" dataDxfId="19">
  <autoFilter ref="M60:Q84" xr:uid="{3D96CCC1-2B07-4677-A1E5-3F8242E09BC1}"/>
  <tableColumns count="5">
    <tableColumn id="1" xr3:uid="{5B7DAD2A-23BC-408F-9B1E-6A789B64FB09}" name="Города" dataDxfId="18"/>
    <tableColumn id="2" xr3:uid="{EF2122F5-ABE2-40D0-B337-9F45E23BA404}" name="Население" dataDxfId="17"/>
    <tableColumn id="3" xr3:uid="{0EF6924D-00DA-457A-92D8-1C2D8684C33F}" name="К-посетителя РОЛЬШТОРЫ" dataDxfId="16"/>
    <tableColumn id="4" xr3:uid="{2765AACD-2593-406E-BF89-6D28CAA8C2A2}" name="Цена клика" dataDxfId="15"/>
    <tableColumn id="5" xr3:uid="{A9E875D8-08A6-4407-912C-42F7059B5813}" name="Геореклама     1 объекта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4C85A59-2A23-4CAE-8E52-A94B311CD7F7}" name="ГОРОДА367" displayName="ГОРОДА367" ref="M60:Q84" totalsRowShown="0" headerRowDxfId="13" dataDxfId="12">
  <autoFilter ref="M60:Q84" xr:uid="{D4C85A59-2A23-4CAE-8E52-A94B311CD7F7}"/>
  <tableColumns count="5">
    <tableColumn id="1" xr3:uid="{7EB314F6-51CA-4155-8D9F-5F97171AE211}" name="Города" dataDxfId="11"/>
    <tableColumn id="2" xr3:uid="{0215A9E0-BCAE-429B-B0A9-B3973C5BF9BB}" name="Население" dataDxfId="10"/>
    <tableColumn id="3" xr3:uid="{57CD7F6F-4998-4741-A0F5-F27D69B59411}" name="К-посетителя РОЛЬШТОРЫ" dataDxfId="9"/>
    <tableColumn id="4" xr3:uid="{B0CDFCB2-55F9-43C4-B525-094B032C1751}" name="Цена клика" dataDxfId="8"/>
    <tableColumn id="5" xr3:uid="{16DED248-372D-4F9D-B87C-48318821834B}" name="Геореклама     1 объекта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0CDFE0-3226-4581-9687-C74555427638}" name="ГОРОДА35" displayName="ГОРОДА35" ref="M60:Q84" totalsRowShown="0" headerRowDxfId="6" dataDxfId="5">
  <autoFilter ref="M60:Q84" xr:uid="{3D96CCC1-2B07-4677-A1E5-3F8242E09BC1}"/>
  <tableColumns count="5">
    <tableColumn id="1" xr3:uid="{F8778F06-D99F-4F60-80BF-D4E4FE9760BC}" name="Города" dataDxfId="4"/>
    <tableColumn id="2" xr3:uid="{9C5C03B2-6F42-4B06-B589-2F2E0A1D5259}" name="Население" dataDxfId="3"/>
    <tableColumn id="3" xr3:uid="{72B608D8-0828-4046-8B90-1BEFE1B36C1E}" name="К-посетителя РОЛЬШТОРЫ" dataDxfId="2"/>
    <tableColumn id="4" xr3:uid="{74504678-CC19-497F-B454-216FEB2DF24E}" name="Цена клика" dataDxfId="1"/>
    <tableColumn id="5" xr3:uid="{D2A892F6-94F6-4AC6-8436-DBF1148B3172}" name="Геореклама     1 объекта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11FA2B-11B9-4518-8072-9A151FCB728C}" name="ГОРОДА34" displayName="ГОРОДА34" ref="L56:P80" totalsRowShown="0" headerRowDxfId="34" dataDxfId="33">
  <autoFilter ref="L56:P80" xr:uid="{3D96CCC1-2B07-4677-A1E5-3F8242E09BC1}"/>
  <tableColumns count="5">
    <tableColumn id="1" xr3:uid="{21B9DDE8-EAAC-44E9-930E-857375ABEC19}" name="Города" dataDxfId="32"/>
    <tableColumn id="2" xr3:uid="{FA116AEA-36B2-4EF4-8BE4-DBDDD9A788BB}" name="Население" dataDxfId="31"/>
    <tableColumn id="3" xr3:uid="{D000517C-6D5B-445A-B4E5-E02415D0F04A}" name="К-посетителя РОЛЬШТОРЫ" dataDxfId="30"/>
    <tableColumn id="4" xr3:uid="{3883885A-B1BA-4D5C-A962-BFD9C34E9F8E}" name="Цена клика" dataDxfId="29"/>
    <tableColumn id="5" xr3:uid="{628394A0-2BCD-416A-AB9F-5FF746A3D5A0}" name="Геореклама     1 объекта" dataDxfId="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AA34-2136-4CDC-BA1D-0091039E7D1B}">
  <dimension ref="A10:T121"/>
  <sheetViews>
    <sheetView tabSelected="1" workbookViewId="0">
      <selection activeCell="A12" sqref="A12:K12"/>
    </sheetView>
  </sheetViews>
  <sheetFormatPr defaultRowHeight="14.25" x14ac:dyDescent="0.2"/>
  <cols>
    <col min="1" max="1" width="18.42578125" style="26" customWidth="1"/>
    <col min="2" max="2" width="2.42578125" style="26" customWidth="1"/>
    <col min="3" max="3" width="20.42578125" style="26" customWidth="1"/>
    <col min="4" max="4" width="13" style="26" customWidth="1"/>
    <col min="5" max="5" width="3.85546875" style="26" customWidth="1"/>
    <col min="6" max="6" width="7.85546875" style="26" customWidth="1"/>
    <col min="7" max="7" width="3.5703125" style="26" customWidth="1"/>
    <col min="8" max="8" width="5" style="26" customWidth="1"/>
    <col min="9" max="9" width="11.140625" style="26" customWidth="1"/>
    <col min="10" max="10" width="3.140625" style="26" customWidth="1"/>
    <col min="11" max="11" width="12" style="26" customWidth="1"/>
    <col min="12" max="12" width="9.140625" style="26"/>
    <col min="13" max="13" width="23.28515625" style="26" customWidth="1"/>
    <col min="14" max="14" width="9.140625" style="26"/>
    <col min="15" max="15" width="12" style="26" customWidth="1"/>
    <col min="16" max="16" width="9.140625" style="26"/>
    <col min="17" max="17" width="12.28515625" style="26" customWidth="1"/>
    <col min="18" max="16384" width="9.140625" style="26"/>
  </cols>
  <sheetData>
    <row r="10" spans="1:13" ht="16.5" customHeight="1" x14ac:dyDescent="0.2"/>
    <row r="11" spans="1:13" ht="13.5" customHeight="1" x14ac:dyDescent="0.2">
      <c r="A11" s="247"/>
      <c r="B11" s="247"/>
    </row>
    <row r="12" spans="1:13" ht="29.25" customHeight="1" x14ac:dyDescent="0.2">
      <c r="A12" s="237" t="s">
        <v>100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3" ht="15" customHeight="1" x14ac:dyDescent="0.2">
      <c r="A13" s="239" t="s">
        <v>56</v>
      </c>
      <c r="B13" s="243"/>
      <c r="C13" s="49" t="s">
        <v>57</v>
      </c>
      <c r="D13" s="50" t="s">
        <v>58</v>
      </c>
      <c r="E13" s="244" t="s">
        <v>101</v>
      </c>
      <c r="F13" s="244"/>
      <c r="G13" s="244"/>
      <c r="H13" s="244" t="s">
        <v>59</v>
      </c>
      <c r="I13" s="244"/>
      <c r="J13" s="244" t="s">
        <v>60</v>
      </c>
      <c r="K13" s="240"/>
    </row>
    <row r="14" spans="1:13" ht="15" customHeight="1" x14ac:dyDescent="0.2">
      <c r="A14" s="245" t="s">
        <v>10</v>
      </c>
      <c r="B14" s="245"/>
      <c r="C14" s="46">
        <f>VLOOKUP(A14,ГОРОДА3[],2,0)</f>
        <v>170000</v>
      </c>
      <c r="D14" s="47">
        <f>VLOOKUP(A14,ГОРОДА3[],3,0)</f>
        <v>1.2E-2</v>
      </c>
      <c r="E14" s="191">
        <v>1</v>
      </c>
      <c r="F14" s="191"/>
      <c r="G14" s="191"/>
      <c r="H14" s="246">
        <f>VLOOKUP(A14,ГОРОДА3[],4,0)</f>
        <v>0.2</v>
      </c>
      <c r="I14" s="246"/>
      <c r="J14" s="192">
        <f t="shared" ref="J14:J19" si="0">C14*D14*E14</f>
        <v>2040</v>
      </c>
      <c r="K14" s="192"/>
    </row>
    <row r="15" spans="1:13" ht="15" customHeight="1" x14ac:dyDescent="0.2">
      <c r="A15" s="245" t="s">
        <v>11</v>
      </c>
      <c r="B15" s="245"/>
      <c r="C15" s="46">
        <f>VLOOKUP(A15,ГОРОДА3[],2,0)</f>
        <v>340000</v>
      </c>
      <c r="D15" s="47">
        <f>VLOOKUP(A15,ГОРОДА3[],3,0)</f>
        <v>1.4E-2</v>
      </c>
      <c r="E15" s="191">
        <v>1</v>
      </c>
      <c r="F15" s="191"/>
      <c r="G15" s="191"/>
      <c r="H15" s="246">
        <f>VLOOKUP(A15,ГОРОДА3[],4,0)</f>
        <v>0.2</v>
      </c>
      <c r="I15" s="246"/>
      <c r="J15" s="192">
        <f t="shared" si="0"/>
        <v>4760</v>
      </c>
      <c r="K15" s="192"/>
    </row>
    <row r="16" spans="1:13" ht="15" customHeight="1" x14ac:dyDescent="0.2">
      <c r="A16" s="245" t="s">
        <v>12</v>
      </c>
      <c r="B16" s="245"/>
      <c r="C16" s="46">
        <f>VLOOKUP(A16,ГОРОДА3[],2,0)</f>
        <v>360000</v>
      </c>
      <c r="D16" s="47">
        <f>VLOOKUP(A16,ГОРОДА3[],3,0)</f>
        <v>1.7999999999999999E-2</v>
      </c>
      <c r="E16" s="191">
        <v>1</v>
      </c>
      <c r="F16" s="191"/>
      <c r="G16" s="191"/>
      <c r="H16" s="246">
        <f>VLOOKUP(A16,ГОРОДА3[],4,0)</f>
        <v>0.2</v>
      </c>
      <c r="I16" s="246"/>
      <c r="J16" s="192">
        <f t="shared" si="0"/>
        <v>6479.9999999999991</v>
      </c>
      <c r="K16" s="192"/>
      <c r="M16" s="26" t="s">
        <v>119</v>
      </c>
    </row>
    <row r="17" spans="1:20" ht="15" customHeight="1" x14ac:dyDescent="0.2">
      <c r="A17" s="245" t="s">
        <v>13</v>
      </c>
      <c r="B17" s="245"/>
      <c r="C17" s="46">
        <f>VLOOKUP(A17,ГОРОДА3[],2,0)</f>
        <v>353000</v>
      </c>
      <c r="D17" s="47">
        <f>VLOOKUP(A17,ГОРОДА3[],3,0)</f>
        <v>1.6E-2</v>
      </c>
      <c r="E17" s="191">
        <v>1</v>
      </c>
      <c r="F17" s="191"/>
      <c r="G17" s="191"/>
      <c r="H17" s="246">
        <f>VLOOKUP(A17,ГОРОДА3[],4,0)</f>
        <v>0.2</v>
      </c>
      <c r="I17" s="246"/>
      <c r="J17" s="192">
        <f t="shared" si="0"/>
        <v>5648</v>
      </c>
      <c r="K17" s="192"/>
      <c r="T17" s="26" t="s">
        <v>117</v>
      </c>
    </row>
    <row r="18" spans="1:20" ht="15" customHeight="1" x14ac:dyDescent="0.2">
      <c r="A18" s="245" t="s">
        <v>24</v>
      </c>
      <c r="B18" s="245"/>
      <c r="C18" s="46">
        <f>VLOOKUP(A18,ГОРОДА3[],2,0)</f>
        <v>205000</v>
      </c>
      <c r="D18" s="47">
        <f>VLOOKUP(A18,ГОРОДА3[],3,0)</f>
        <v>1.2E-2</v>
      </c>
      <c r="E18" s="191">
        <v>1</v>
      </c>
      <c r="F18" s="191"/>
      <c r="G18" s="191"/>
      <c r="H18" s="246">
        <f>VLOOKUP(A18,ГОРОДА3[],4,0)</f>
        <v>0.2</v>
      </c>
      <c r="I18" s="246"/>
      <c r="J18" s="192">
        <f t="shared" si="0"/>
        <v>2460</v>
      </c>
      <c r="K18" s="192"/>
      <c r="M18" s="26" t="s">
        <v>120</v>
      </c>
      <c r="O18" s="26" t="s">
        <v>118</v>
      </c>
    </row>
    <row r="19" spans="1:20" ht="15" customHeight="1" x14ac:dyDescent="0.2">
      <c r="A19" s="245" t="s">
        <v>79</v>
      </c>
      <c r="B19" s="245"/>
      <c r="C19" s="46">
        <f>VLOOKUP(A19,ГОРОДА3[],2,0)</f>
        <v>1996000</v>
      </c>
      <c r="D19" s="47">
        <f>VLOOKUP(A19,ГОРОДА3[],3,0)</f>
        <v>2.1999999999999999E-2</v>
      </c>
      <c r="E19" s="191">
        <v>0</v>
      </c>
      <c r="F19" s="191"/>
      <c r="G19" s="191"/>
      <c r="H19" s="246">
        <f>VLOOKUP(A19,ГОРОДА3[],4,0)</f>
        <v>0.4</v>
      </c>
      <c r="I19" s="246"/>
      <c r="J19" s="192">
        <f t="shared" si="0"/>
        <v>0</v>
      </c>
      <c r="K19" s="192"/>
      <c r="M19" s="26" t="s">
        <v>121</v>
      </c>
    </row>
    <row r="20" spans="1:20" ht="15" customHeight="1" x14ac:dyDescent="0.2">
      <c r="A20" s="248"/>
      <c r="B20" s="248"/>
      <c r="C20" s="27"/>
      <c r="D20" s="27"/>
      <c r="E20" s="254">
        <f>SUM(E14:G19)</f>
        <v>5</v>
      </c>
      <c r="F20" s="253"/>
      <c r="G20" s="253"/>
      <c r="H20" s="255">
        <f>(H14*J14+H15*J15+H16*J16+H17*J17+H18*J18+H19*J19)/J20</f>
        <v>0.2</v>
      </c>
      <c r="I20" s="255"/>
      <c r="J20" s="284">
        <f>SUM(J14:J19)</f>
        <v>21388</v>
      </c>
      <c r="K20" s="285"/>
    </row>
    <row r="21" spans="1:20" ht="15" customHeight="1" x14ac:dyDescent="0.2">
      <c r="A21" s="248"/>
      <c r="B21" s="248"/>
      <c r="C21" s="27"/>
      <c r="D21" s="27"/>
      <c r="E21" s="253"/>
      <c r="F21" s="253"/>
      <c r="G21" s="253"/>
      <c r="H21" s="253"/>
      <c r="I21" s="253"/>
      <c r="J21" s="253"/>
      <c r="K21" s="253"/>
    </row>
    <row r="22" spans="1:20" ht="15" customHeight="1" x14ac:dyDescent="0.2">
      <c r="A22" s="251" t="s">
        <v>61</v>
      </c>
      <c r="B22" s="251"/>
      <c r="C22" s="28" t="s">
        <v>62</v>
      </c>
      <c r="D22" s="51" t="s">
        <v>63</v>
      </c>
      <c r="E22" s="225" t="s">
        <v>64</v>
      </c>
      <c r="F22" s="226"/>
      <c r="G22" s="252"/>
      <c r="H22" s="228" t="s">
        <v>102</v>
      </c>
      <c r="I22" s="228"/>
      <c r="J22" s="228"/>
      <c r="K22" s="228"/>
    </row>
    <row r="23" spans="1:20" ht="15" customHeight="1" x14ac:dyDescent="0.2">
      <c r="A23" s="248"/>
      <c r="B23" s="248"/>
      <c r="C23" s="52">
        <v>50</v>
      </c>
      <c r="D23" s="53">
        <v>0.3</v>
      </c>
      <c r="E23" s="249">
        <v>0.04</v>
      </c>
      <c r="F23" s="249"/>
      <c r="G23" s="249"/>
      <c r="H23" s="250">
        <v>2</v>
      </c>
      <c r="I23" s="250"/>
      <c r="J23" s="54" t="s">
        <v>67</v>
      </c>
      <c r="K23" s="54"/>
    </row>
    <row r="24" spans="1:20" ht="29.25" customHeight="1" x14ac:dyDescent="0.2">
      <c r="A24" s="237" t="s">
        <v>103</v>
      </c>
      <c r="B24" s="237"/>
      <c r="C24" s="237"/>
      <c r="D24" s="257" t="s">
        <v>65</v>
      </c>
      <c r="E24" s="258"/>
      <c r="F24" s="258"/>
      <c r="G24" s="259"/>
      <c r="H24" s="260" t="s">
        <v>66</v>
      </c>
      <c r="I24" s="260"/>
      <c r="J24" s="55">
        <f>H23</f>
        <v>2</v>
      </c>
      <c r="K24" s="56" t="s">
        <v>67</v>
      </c>
    </row>
    <row r="25" spans="1:20" ht="20.100000000000001" customHeight="1" x14ac:dyDescent="0.2">
      <c r="A25" s="251" t="s">
        <v>68</v>
      </c>
      <c r="B25" s="251"/>
      <c r="C25" s="57"/>
      <c r="D25" s="256">
        <f>D27*$C$23</f>
        <v>3564.666666666667</v>
      </c>
      <c r="E25" s="256"/>
      <c r="F25" s="256"/>
      <c r="G25" s="256"/>
      <c r="H25" s="256">
        <f>H27*$C$23</f>
        <v>85552</v>
      </c>
      <c r="I25" s="256"/>
      <c r="J25" s="256"/>
      <c r="K25" s="256"/>
    </row>
    <row r="26" spans="1:20" ht="20.100000000000001" customHeight="1" x14ac:dyDescent="0.2">
      <c r="A26" s="251" t="s">
        <v>104</v>
      </c>
      <c r="B26" s="251"/>
      <c r="C26" s="57"/>
      <c r="D26" s="222">
        <f>J20/12</f>
        <v>1782.3333333333333</v>
      </c>
      <c r="E26" s="222"/>
      <c r="F26" s="222"/>
      <c r="G26" s="222"/>
      <c r="H26" s="222">
        <f>J20*H23</f>
        <v>42776</v>
      </c>
      <c r="I26" s="222"/>
      <c r="J26" s="222"/>
      <c r="K26" s="222"/>
    </row>
    <row r="27" spans="1:20" ht="20.100000000000001" customHeight="1" x14ac:dyDescent="0.2">
      <c r="A27" s="251" t="s">
        <v>69</v>
      </c>
      <c r="B27" s="251"/>
      <c r="C27" s="29"/>
      <c r="D27" s="264">
        <f>D26*$E$23</f>
        <v>71.293333333333337</v>
      </c>
      <c r="E27" s="264"/>
      <c r="F27" s="264"/>
      <c r="G27" s="264"/>
      <c r="H27" s="264">
        <f>H26*$E$23</f>
        <v>1711.04</v>
      </c>
      <c r="I27" s="264"/>
      <c r="J27" s="264"/>
      <c r="K27" s="264"/>
    </row>
    <row r="28" spans="1:20" ht="20.100000000000001" customHeight="1" x14ac:dyDescent="0.2">
      <c r="A28" s="251" t="s">
        <v>70</v>
      </c>
      <c r="B28" s="251"/>
      <c r="C28" s="58"/>
      <c r="D28" s="265">
        <f>D25*$D$23</f>
        <v>1069.4000000000001</v>
      </c>
      <c r="E28" s="265"/>
      <c r="F28" s="265"/>
      <c r="G28" s="265"/>
      <c r="H28" s="265">
        <f>H25*$D$23</f>
        <v>25665.599999999999</v>
      </c>
      <c r="I28" s="265"/>
      <c r="J28" s="265"/>
      <c r="K28" s="265"/>
    </row>
    <row r="29" spans="1:20" ht="29.25" customHeight="1" x14ac:dyDescent="0.2">
      <c r="A29" s="48" t="s">
        <v>149</v>
      </c>
      <c r="B29" s="82">
        <f>H23</f>
        <v>2</v>
      </c>
      <c r="C29" s="83" t="s">
        <v>67</v>
      </c>
      <c r="D29" s="261" t="s">
        <v>105</v>
      </c>
      <c r="E29" s="261"/>
      <c r="F29" s="261"/>
      <c r="G29" s="262" t="s">
        <v>106</v>
      </c>
      <c r="H29" s="263"/>
      <c r="I29" s="219" t="s">
        <v>74</v>
      </c>
      <c r="J29" s="219"/>
      <c r="K29" s="219"/>
    </row>
    <row r="30" spans="1:20" ht="20.100000000000001" customHeight="1" x14ac:dyDescent="0.2">
      <c r="A30" s="251" t="s">
        <v>75</v>
      </c>
      <c r="B30" s="251"/>
      <c r="C30" s="60" t="s">
        <v>107</v>
      </c>
      <c r="D30" s="268">
        <f>(D31+D32)*12*H23</f>
        <v>10955.199999999999</v>
      </c>
      <c r="E30" s="268"/>
      <c r="F30" s="268"/>
      <c r="G30" s="61" t="s">
        <v>108</v>
      </c>
      <c r="H30" s="62">
        <f>D30/I30</f>
        <v>4.979636363636363</v>
      </c>
      <c r="I30" s="269">
        <f>VLOOKUP(A14,ГОРОДА3[],5,0)*E20+I31*12*H23+I32*12*H23</f>
        <v>2200</v>
      </c>
      <c r="J30" s="269"/>
      <c r="K30" s="269"/>
    </row>
    <row r="31" spans="1:20" ht="15" customHeight="1" x14ac:dyDescent="0.2">
      <c r="A31" s="251"/>
      <c r="B31" s="251"/>
      <c r="C31" s="32" t="s">
        <v>109</v>
      </c>
      <c r="D31" s="266">
        <v>100</v>
      </c>
      <c r="E31" s="266"/>
      <c r="F31" s="266"/>
      <c r="G31" s="267"/>
      <c r="H31" s="267"/>
      <c r="I31" s="266">
        <v>0</v>
      </c>
      <c r="J31" s="266"/>
      <c r="K31" s="266"/>
    </row>
    <row r="32" spans="1:20" ht="15" customHeight="1" x14ac:dyDescent="0.2">
      <c r="A32" s="251"/>
      <c r="B32" s="251"/>
      <c r="C32" s="32" t="s">
        <v>110</v>
      </c>
      <c r="D32" s="266">
        <f>(J14/12*H14)+(J15/12*H15)+(J16/12*H16)+(J17/12*H17)+(J18/12*H18)+(J19/12*H19)</f>
        <v>356.46666666666664</v>
      </c>
      <c r="E32" s="266"/>
      <c r="F32" s="266"/>
      <c r="G32" s="267"/>
      <c r="H32" s="267"/>
      <c r="I32" s="266">
        <v>0</v>
      </c>
      <c r="J32" s="266"/>
      <c r="K32" s="266"/>
    </row>
    <row r="33" spans="1:11" ht="15" customHeight="1" x14ac:dyDescent="0.2">
      <c r="A33" s="251"/>
      <c r="B33" s="251"/>
      <c r="C33" s="31"/>
      <c r="D33" s="273"/>
      <c r="E33" s="273"/>
      <c r="F33" s="273"/>
      <c r="G33" s="274"/>
      <c r="H33" s="274"/>
      <c r="I33" s="273"/>
      <c r="J33" s="273"/>
      <c r="K33" s="273"/>
    </row>
    <row r="34" spans="1:11" ht="20.100000000000001" customHeight="1" x14ac:dyDescent="0.2">
      <c r="A34" s="251" t="s">
        <v>111</v>
      </c>
      <c r="B34" s="251"/>
      <c r="C34" s="60" t="s">
        <v>98</v>
      </c>
      <c r="D34" s="63">
        <f>D30/(D28/30)/30</f>
        <v>10.244249111651392</v>
      </c>
      <c r="E34" s="275" t="s">
        <v>15</v>
      </c>
      <c r="F34" s="275"/>
      <c r="G34" s="61" t="s">
        <v>108</v>
      </c>
      <c r="H34" s="62">
        <f>D34/I34</f>
        <v>4.979636363636363</v>
      </c>
      <c r="I34" s="64">
        <f>I30/(D28/30)/30</f>
        <v>2.0572283523471104</v>
      </c>
      <c r="J34" s="275" t="s">
        <v>15</v>
      </c>
      <c r="K34" s="275"/>
    </row>
    <row r="35" spans="1:11" ht="15" customHeight="1" x14ac:dyDescent="0.2">
      <c r="A35" s="251"/>
      <c r="B35" s="251"/>
      <c r="C35" s="60" t="s">
        <v>76</v>
      </c>
      <c r="D35" s="270">
        <f>(D28-D31-D32)/(D31+D32)</f>
        <v>1.342777858916314</v>
      </c>
      <c r="E35" s="270"/>
      <c r="F35" s="270"/>
      <c r="G35" s="61" t="s">
        <v>108</v>
      </c>
      <c r="H35" s="62">
        <f>I35/D35</f>
        <v>7.943370340340536</v>
      </c>
      <c r="I35" s="270">
        <f>(H28-I30)/I30</f>
        <v>10.666181818181817</v>
      </c>
      <c r="J35" s="270"/>
      <c r="K35" s="270"/>
    </row>
    <row r="36" spans="1:11" ht="15" customHeight="1" x14ac:dyDescent="0.2">
      <c r="A36" s="251"/>
      <c r="B36" s="251"/>
      <c r="C36" s="65"/>
      <c r="D36" s="271"/>
      <c r="E36" s="271"/>
      <c r="F36" s="271"/>
      <c r="G36" s="272"/>
      <c r="H36" s="272"/>
      <c r="I36" s="271"/>
      <c r="J36" s="271"/>
      <c r="K36" s="271"/>
    </row>
    <row r="37" spans="1:11" ht="20.100000000000001" customHeight="1" x14ac:dyDescent="0.2">
      <c r="A37" s="251" t="s">
        <v>73</v>
      </c>
      <c r="B37" s="251"/>
      <c r="C37" s="60" t="s">
        <v>112</v>
      </c>
      <c r="D37" s="280">
        <f>D30/H27</f>
        <v>6.40265569478212</v>
      </c>
      <c r="E37" s="280"/>
      <c r="F37" s="280"/>
      <c r="G37" s="61" t="s">
        <v>108</v>
      </c>
      <c r="H37" s="62">
        <f>D37/I37</f>
        <v>4.979636363636363</v>
      </c>
      <c r="I37" s="281">
        <f>I30/H27</f>
        <v>1.2857677202169442</v>
      </c>
      <c r="J37" s="281"/>
      <c r="K37" s="281"/>
    </row>
    <row r="38" spans="1:11" ht="15" customHeight="1" x14ac:dyDescent="0.2">
      <c r="A38" s="251"/>
      <c r="B38" s="251"/>
      <c r="C38" s="66" t="s">
        <v>71</v>
      </c>
      <c r="D38" s="67">
        <f>D35</f>
        <v>1.342777858916314</v>
      </c>
      <c r="E38" s="59" t="s">
        <v>72</v>
      </c>
      <c r="F38" s="68">
        <v>1</v>
      </c>
      <c r="G38" s="61" t="s">
        <v>108</v>
      </c>
      <c r="H38" s="68">
        <f>I38/D38</f>
        <v>7.943370340340536</v>
      </c>
      <c r="I38" s="69">
        <f>I35</f>
        <v>10.666181818181817</v>
      </c>
      <c r="J38" s="70" t="s">
        <v>72</v>
      </c>
      <c r="K38" s="71">
        <v>1</v>
      </c>
    </row>
    <row r="39" spans="1:11" ht="15" customHeight="1" x14ac:dyDescent="0.2">
      <c r="A39" s="251"/>
      <c r="B39" s="251"/>
      <c r="C39" s="31"/>
      <c r="D39" s="282"/>
      <c r="E39" s="282"/>
      <c r="F39" s="282"/>
      <c r="G39" s="283"/>
      <c r="H39" s="283"/>
      <c r="I39" s="282"/>
      <c r="J39" s="282"/>
      <c r="K39" s="282"/>
    </row>
    <row r="40" spans="1:11" ht="20.100000000000001" customHeight="1" x14ac:dyDescent="0.2">
      <c r="A40" s="251" t="s">
        <v>113</v>
      </c>
      <c r="B40" s="251"/>
      <c r="C40" s="276" t="s">
        <v>114</v>
      </c>
      <c r="D40" s="277">
        <f>D30/H25</f>
        <v>0.12805311389564239</v>
      </c>
      <c r="E40" s="277"/>
      <c r="F40" s="277"/>
      <c r="G40" s="61" t="s">
        <v>108</v>
      </c>
      <c r="H40" s="62">
        <f>D40/I40</f>
        <v>4.979636363636363</v>
      </c>
      <c r="I40" s="278">
        <f>I30/H25</f>
        <v>2.5715354404338881E-2</v>
      </c>
      <c r="J40" s="278"/>
      <c r="K40" s="278"/>
    </row>
    <row r="41" spans="1:11" ht="15" customHeight="1" x14ac:dyDescent="0.2">
      <c r="A41" s="248"/>
      <c r="B41" s="248"/>
      <c r="C41" s="276"/>
      <c r="D41" s="279"/>
      <c r="E41" s="279"/>
      <c r="F41" s="279"/>
      <c r="G41" s="279"/>
      <c r="H41" s="279"/>
      <c r="I41" s="279"/>
      <c r="J41" s="279"/>
      <c r="K41" s="279"/>
    </row>
    <row r="42" spans="1:11" ht="30" customHeight="1" x14ac:dyDescent="0.2">
      <c r="A42" s="237" t="s">
        <v>115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1:11" ht="15" customHeight="1" x14ac:dyDescent="0.2">
      <c r="A43" s="72"/>
      <c r="B43" s="34"/>
      <c r="C43" s="187" t="s">
        <v>116</v>
      </c>
      <c r="D43" s="187"/>
      <c r="E43" s="187"/>
      <c r="F43" s="187"/>
      <c r="G43" s="187" t="s">
        <v>37</v>
      </c>
      <c r="H43" s="187"/>
      <c r="I43" s="187"/>
      <c r="J43" s="187"/>
      <c r="K43" s="187"/>
    </row>
    <row r="44" spans="1:11" ht="15" customHeight="1" x14ac:dyDescent="0.2">
      <c r="A44" s="30"/>
      <c r="B44" s="30"/>
      <c r="C44" s="187" t="s">
        <v>154</v>
      </c>
      <c r="D44" s="187"/>
      <c r="E44" s="187"/>
      <c r="F44" s="187"/>
      <c r="G44" s="187" t="s">
        <v>38</v>
      </c>
      <c r="H44" s="187"/>
      <c r="I44" s="187"/>
      <c r="J44" s="187"/>
      <c r="K44" s="187"/>
    </row>
    <row r="45" spans="1:11" ht="15.75" x14ac:dyDescent="0.2">
      <c r="A45" s="30"/>
      <c r="B45" s="30"/>
      <c r="C45" s="187" t="s">
        <v>34</v>
      </c>
      <c r="D45" s="187"/>
      <c r="E45" s="187"/>
      <c r="F45" s="187"/>
      <c r="G45" s="187" t="s">
        <v>39</v>
      </c>
      <c r="H45" s="187"/>
      <c r="I45" s="187"/>
      <c r="J45" s="187"/>
      <c r="K45" s="187"/>
    </row>
    <row r="46" spans="1:11" ht="15.75" x14ac:dyDescent="0.2">
      <c r="A46" s="30"/>
      <c r="B46" s="30"/>
      <c r="C46" s="187" t="s">
        <v>35</v>
      </c>
      <c r="D46" s="187"/>
      <c r="E46" s="187"/>
      <c r="F46" s="187"/>
      <c r="G46" s="187" t="s">
        <v>40</v>
      </c>
      <c r="H46" s="187"/>
      <c r="I46" s="187"/>
      <c r="J46" s="187"/>
      <c r="K46" s="187"/>
    </row>
    <row r="47" spans="1:11" x14ac:dyDescent="0.2">
      <c r="C47" s="187" t="s">
        <v>36</v>
      </c>
      <c r="D47" s="187"/>
      <c r="E47" s="187"/>
      <c r="F47" s="187"/>
      <c r="G47" s="188"/>
      <c r="H47" s="188"/>
      <c r="I47" s="188"/>
      <c r="J47" s="188"/>
      <c r="K47" s="188"/>
    </row>
    <row r="48" spans="1:11" x14ac:dyDescent="0.2">
      <c r="D48" s="35"/>
      <c r="E48" s="35"/>
      <c r="F48" s="35"/>
      <c r="G48" s="35"/>
      <c r="H48" s="35"/>
      <c r="I48" s="35"/>
      <c r="J48" s="35"/>
      <c r="K48" s="35"/>
    </row>
    <row r="49" spans="4:17" x14ac:dyDescent="0.2">
      <c r="D49" s="35"/>
      <c r="E49" s="35"/>
      <c r="F49" s="35"/>
      <c r="G49" s="35"/>
      <c r="H49" s="35"/>
      <c r="I49" s="35"/>
      <c r="J49" s="35"/>
      <c r="K49" s="35"/>
    </row>
    <row r="50" spans="4:17" x14ac:dyDescent="0.2">
      <c r="D50" s="35"/>
      <c r="E50" s="35"/>
      <c r="F50" s="35"/>
      <c r="G50" s="35"/>
      <c r="H50" s="35"/>
      <c r="I50" s="35"/>
      <c r="J50" s="35"/>
      <c r="K50" s="35"/>
    </row>
    <row r="51" spans="4:17" x14ac:dyDescent="0.2">
      <c r="D51" s="35"/>
      <c r="E51" s="35"/>
      <c r="F51" s="35"/>
      <c r="G51" s="35"/>
      <c r="H51" s="35"/>
      <c r="I51" s="35"/>
      <c r="J51" s="35"/>
      <c r="K51" s="35"/>
    </row>
    <row r="52" spans="4:17" x14ac:dyDescent="0.2">
      <c r="D52" s="35"/>
      <c r="E52" s="35"/>
      <c r="F52" s="35"/>
      <c r="G52" s="35"/>
      <c r="H52" s="35"/>
      <c r="I52" s="35"/>
      <c r="J52" s="35"/>
      <c r="K52" s="35"/>
    </row>
    <row r="53" spans="4:17" x14ac:dyDescent="0.2">
      <c r="D53" s="35"/>
      <c r="E53" s="35"/>
      <c r="F53" s="35"/>
      <c r="G53" s="35"/>
      <c r="H53" s="35"/>
      <c r="I53" s="35"/>
      <c r="J53" s="35"/>
      <c r="K53" s="35"/>
    </row>
    <row r="54" spans="4:17" x14ac:dyDescent="0.2">
      <c r="D54" s="35"/>
      <c r="E54" s="35"/>
      <c r="F54" s="35"/>
      <c r="G54" s="35"/>
      <c r="H54" s="35"/>
      <c r="I54" s="35"/>
      <c r="J54" s="35"/>
      <c r="K54" s="35"/>
    </row>
    <row r="55" spans="4:17" x14ac:dyDescent="0.2">
      <c r="D55" s="35"/>
      <c r="E55" s="35"/>
      <c r="F55" s="35"/>
      <c r="G55" s="35"/>
      <c r="H55" s="35"/>
      <c r="I55" s="35"/>
      <c r="J55" s="35"/>
      <c r="K55" s="35"/>
    </row>
    <row r="56" spans="4:17" x14ac:dyDescent="0.2">
      <c r="D56" s="35"/>
      <c r="E56" s="35"/>
      <c r="F56" s="35"/>
      <c r="G56" s="35"/>
      <c r="H56" s="35"/>
      <c r="I56" s="35"/>
      <c r="J56" s="35"/>
      <c r="K56" s="35"/>
    </row>
    <row r="57" spans="4:17" x14ac:dyDescent="0.2">
      <c r="D57" s="35"/>
      <c r="E57" s="35"/>
      <c r="F57" s="35"/>
      <c r="G57" s="35"/>
      <c r="H57" s="35"/>
      <c r="I57" s="35"/>
      <c r="J57" s="35"/>
      <c r="K57" s="35"/>
    </row>
    <row r="58" spans="4:17" x14ac:dyDescent="0.2">
      <c r="D58" s="35"/>
      <c r="E58" s="35"/>
      <c r="F58" s="35"/>
      <c r="G58" s="35"/>
      <c r="H58" s="35"/>
      <c r="I58" s="35"/>
      <c r="J58" s="35"/>
      <c r="K58" s="35"/>
    </row>
    <row r="59" spans="4:17" x14ac:dyDescent="0.2">
      <c r="D59" s="35"/>
      <c r="E59" s="35"/>
      <c r="F59" s="35"/>
      <c r="G59" s="35"/>
      <c r="H59" s="35"/>
      <c r="I59" s="35"/>
      <c r="J59" s="35"/>
      <c r="K59" s="35"/>
    </row>
    <row r="60" spans="4:17" ht="22.5" x14ac:dyDescent="0.2">
      <c r="D60" s="35"/>
      <c r="E60" s="35"/>
      <c r="F60" s="35"/>
      <c r="G60" s="35"/>
      <c r="H60" s="35"/>
      <c r="I60" s="35"/>
      <c r="J60" s="35"/>
      <c r="K60" s="35"/>
      <c r="M60" s="36" t="s">
        <v>77</v>
      </c>
      <c r="N60" s="36" t="s">
        <v>57</v>
      </c>
      <c r="O60" s="37" t="s">
        <v>99</v>
      </c>
      <c r="P60" s="37" t="s">
        <v>59</v>
      </c>
      <c r="Q60" s="37" t="s">
        <v>78</v>
      </c>
    </row>
    <row r="61" spans="4:17" ht="15.75" x14ac:dyDescent="0.25">
      <c r="D61" s="35"/>
      <c r="E61" s="35"/>
      <c r="F61" s="35"/>
      <c r="G61" s="35"/>
      <c r="H61" s="35"/>
      <c r="I61" s="35"/>
      <c r="J61" s="35"/>
      <c r="K61" s="35"/>
      <c r="M61" s="38" t="s">
        <v>10</v>
      </c>
      <c r="N61" s="39">
        <v>170000</v>
      </c>
      <c r="O61" s="45">
        <v>1.2E-2</v>
      </c>
      <c r="P61" s="40">
        <v>0.2</v>
      </c>
      <c r="Q61" s="41">
        <v>440</v>
      </c>
    </row>
    <row r="62" spans="4:17" ht="15" x14ac:dyDescent="0.2">
      <c r="D62" s="35"/>
      <c r="E62" s="35"/>
      <c r="F62" s="35"/>
      <c r="G62" s="35"/>
      <c r="H62" s="35"/>
      <c r="I62" s="35"/>
      <c r="J62" s="35"/>
      <c r="K62" s="35"/>
      <c r="M62" s="42" t="s">
        <v>79</v>
      </c>
      <c r="N62" s="39">
        <v>1996000</v>
      </c>
      <c r="O62" s="45">
        <v>2.1999999999999999E-2</v>
      </c>
      <c r="P62" s="40">
        <v>0.4</v>
      </c>
      <c r="Q62" s="41">
        <v>1320</v>
      </c>
    </row>
    <row r="63" spans="4:17" ht="15" x14ac:dyDescent="0.2">
      <c r="D63" s="35"/>
      <c r="E63" s="35"/>
      <c r="F63" s="35"/>
      <c r="G63" s="35"/>
      <c r="H63" s="35"/>
      <c r="I63" s="35"/>
      <c r="J63" s="35"/>
      <c r="K63" s="35"/>
      <c r="M63" s="43" t="s">
        <v>11</v>
      </c>
      <c r="N63" s="39">
        <v>340000</v>
      </c>
      <c r="O63" s="45">
        <v>1.4E-2</v>
      </c>
      <c r="P63" s="40">
        <v>0.2</v>
      </c>
      <c r="Q63" s="41">
        <v>440</v>
      </c>
    </row>
    <row r="64" spans="4:17" ht="15" x14ac:dyDescent="0.2">
      <c r="D64" s="35"/>
      <c r="E64" s="35"/>
      <c r="F64" s="35"/>
      <c r="G64" s="35"/>
      <c r="H64" s="35"/>
      <c r="I64" s="35"/>
      <c r="J64" s="35"/>
      <c r="K64" s="35"/>
      <c r="M64" s="43" t="s">
        <v>80</v>
      </c>
      <c r="N64" s="39">
        <v>357000</v>
      </c>
      <c r="O64" s="45">
        <v>5.0000000000000001E-3</v>
      </c>
      <c r="P64" s="40">
        <v>0.2</v>
      </c>
      <c r="Q64" s="41">
        <v>440</v>
      </c>
    </row>
    <row r="65" spans="4:17" ht="15" x14ac:dyDescent="0.2">
      <c r="D65" s="35"/>
      <c r="E65" s="35"/>
      <c r="F65" s="35"/>
      <c r="G65" s="35"/>
      <c r="H65" s="35"/>
      <c r="I65" s="35"/>
      <c r="J65" s="35"/>
      <c r="K65" s="35"/>
      <c r="M65" s="43" t="s">
        <v>12</v>
      </c>
      <c r="N65" s="39">
        <v>360000</v>
      </c>
      <c r="O65" s="45">
        <v>1.7999999999999999E-2</v>
      </c>
      <c r="P65" s="40">
        <v>0.2</v>
      </c>
      <c r="Q65" s="41">
        <v>440</v>
      </c>
    </row>
    <row r="66" spans="4:17" ht="15" x14ac:dyDescent="0.2">
      <c r="D66" s="35"/>
      <c r="E66" s="35"/>
      <c r="F66" s="35"/>
      <c r="G66" s="35"/>
      <c r="H66" s="35"/>
      <c r="I66" s="35"/>
      <c r="J66" s="35"/>
      <c r="K66" s="35"/>
      <c r="M66" s="43" t="s">
        <v>13</v>
      </c>
      <c r="N66" s="39">
        <v>353000</v>
      </c>
      <c r="O66" s="45">
        <v>1.6E-2</v>
      </c>
      <c r="P66" s="40">
        <v>0.2</v>
      </c>
      <c r="Q66" s="41">
        <v>440</v>
      </c>
    </row>
    <row r="67" spans="4:17" ht="15" x14ac:dyDescent="0.2">
      <c r="D67" s="35"/>
      <c r="E67" s="35"/>
      <c r="F67" s="35"/>
      <c r="G67" s="35"/>
      <c r="H67" s="35"/>
      <c r="I67" s="35"/>
      <c r="J67" s="35"/>
      <c r="K67" s="35"/>
      <c r="M67" s="43" t="s">
        <v>24</v>
      </c>
      <c r="N67" s="39">
        <v>205000</v>
      </c>
      <c r="O67" s="45">
        <v>1.2E-2</v>
      </c>
      <c r="P67" s="40">
        <v>0.2</v>
      </c>
      <c r="Q67" s="41">
        <v>440</v>
      </c>
    </row>
    <row r="68" spans="4:17" ht="15" x14ac:dyDescent="0.2">
      <c r="D68" s="35"/>
      <c r="E68" s="35"/>
      <c r="F68" s="35"/>
      <c r="G68" s="35"/>
      <c r="H68" s="35"/>
      <c r="I68" s="35"/>
      <c r="J68" s="35"/>
      <c r="K68" s="35"/>
      <c r="M68" s="43" t="s">
        <v>81</v>
      </c>
      <c r="N68" s="39">
        <v>500000</v>
      </c>
      <c r="O68" s="45">
        <v>1.4999999999999999E-2</v>
      </c>
      <c r="P68" s="40">
        <v>0.2</v>
      </c>
      <c r="Q68" s="41">
        <v>440</v>
      </c>
    </row>
    <row r="69" spans="4:17" ht="15" x14ac:dyDescent="0.2">
      <c r="D69" s="35"/>
      <c r="E69" s="35"/>
      <c r="F69" s="35"/>
      <c r="G69" s="35"/>
      <c r="H69" s="35"/>
      <c r="I69" s="35"/>
      <c r="J69" s="35"/>
      <c r="K69" s="35"/>
      <c r="M69" s="42" t="s">
        <v>82</v>
      </c>
      <c r="N69" s="39">
        <v>13000000</v>
      </c>
      <c r="O69" s="45">
        <v>4.1000000000000002E-2</v>
      </c>
      <c r="P69" s="40">
        <v>4</v>
      </c>
      <c r="Q69" s="41">
        <v>1320</v>
      </c>
    </row>
    <row r="70" spans="4:17" ht="15" x14ac:dyDescent="0.2">
      <c r="D70" s="35"/>
      <c r="E70" s="35"/>
      <c r="F70" s="35"/>
      <c r="G70" s="35"/>
      <c r="H70" s="35"/>
      <c r="I70" s="35"/>
      <c r="J70" s="35"/>
      <c r="K70" s="35"/>
      <c r="M70" s="43" t="s">
        <v>83</v>
      </c>
      <c r="N70" s="39">
        <v>5590000</v>
      </c>
      <c r="O70" s="45">
        <v>5.5E-2</v>
      </c>
      <c r="P70" s="40">
        <v>2</v>
      </c>
      <c r="Q70" s="41">
        <v>1320</v>
      </c>
    </row>
    <row r="71" spans="4:17" ht="15" x14ac:dyDescent="0.2">
      <c r="D71" s="35"/>
      <c r="E71" s="35"/>
      <c r="F71" s="35"/>
      <c r="G71" s="35"/>
      <c r="H71" s="35"/>
      <c r="I71" s="35"/>
      <c r="J71" s="35"/>
      <c r="K71" s="35"/>
      <c r="M71" s="43" t="s">
        <v>84</v>
      </c>
      <c r="N71" s="39">
        <v>1630000</v>
      </c>
      <c r="O71" s="45">
        <v>2.4E-2</v>
      </c>
      <c r="P71" s="40">
        <v>1</v>
      </c>
      <c r="Q71" s="41">
        <v>1320</v>
      </c>
    </row>
    <row r="72" spans="4:17" ht="15" x14ac:dyDescent="0.2">
      <c r="D72" s="35"/>
      <c r="E72" s="35"/>
      <c r="F72" s="35"/>
      <c r="G72" s="35"/>
      <c r="H72" s="35"/>
      <c r="I72" s="35"/>
      <c r="J72" s="35"/>
      <c r="K72" s="35"/>
      <c r="M72" s="43" t="s">
        <v>85</v>
      </c>
      <c r="N72" s="39">
        <v>1550000</v>
      </c>
      <c r="O72" s="45">
        <v>3.4000000000000002E-2</v>
      </c>
      <c r="P72" s="40">
        <v>1</v>
      </c>
      <c r="Q72" s="41">
        <v>1320</v>
      </c>
    </row>
    <row r="73" spans="4:17" ht="15" x14ac:dyDescent="0.2">
      <c r="D73" s="35"/>
      <c r="E73" s="35"/>
      <c r="F73" s="35"/>
      <c r="G73" s="35"/>
      <c r="H73" s="35"/>
      <c r="I73" s="35"/>
      <c r="J73" s="35"/>
      <c r="K73" s="35"/>
      <c r="M73" s="43" t="s">
        <v>86</v>
      </c>
      <c r="N73" s="39">
        <v>1300000</v>
      </c>
      <c r="O73" s="45">
        <v>2.1999999999999999E-2</v>
      </c>
      <c r="P73" s="40">
        <v>1</v>
      </c>
      <c r="Q73" s="41">
        <v>1320</v>
      </c>
    </row>
    <row r="74" spans="4:17" ht="15" x14ac:dyDescent="0.2">
      <c r="D74" s="35"/>
      <c r="E74" s="35"/>
      <c r="F74" s="35"/>
      <c r="G74" s="35"/>
      <c r="H74" s="35"/>
      <c r="I74" s="35"/>
      <c r="J74" s="35"/>
      <c r="K74" s="35"/>
      <c r="M74" s="43" t="s">
        <v>87</v>
      </c>
      <c r="N74" s="39">
        <v>1100000</v>
      </c>
      <c r="O74" s="45">
        <v>4.2000000000000003E-2</v>
      </c>
      <c r="P74" s="40">
        <v>1</v>
      </c>
      <c r="Q74" s="41">
        <v>1320</v>
      </c>
    </row>
    <row r="75" spans="4:17" ht="15" x14ac:dyDescent="0.2">
      <c r="D75" s="35"/>
      <c r="E75" s="35"/>
      <c r="F75" s="35"/>
      <c r="G75" s="35"/>
      <c r="H75" s="35"/>
      <c r="I75" s="35"/>
      <c r="J75" s="35"/>
      <c r="K75" s="35"/>
      <c r="M75" s="43" t="s">
        <v>88</v>
      </c>
      <c r="N75" s="39">
        <v>1220000</v>
      </c>
      <c r="O75" s="45">
        <v>4.2999999999999997E-2</v>
      </c>
      <c r="P75" s="40">
        <v>1</v>
      </c>
      <c r="Q75" s="41">
        <v>1320</v>
      </c>
    </row>
    <row r="76" spans="4:17" ht="15" x14ac:dyDescent="0.2">
      <c r="D76" s="35"/>
      <c r="E76" s="35"/>
      <c r="F76" s="35"/>
      <c r="G76" s="35"/>
      <c r="H76" s="35"/>
      <c r="I76" s="35"/>
      <c r="J76" s="35"/>
      <c r="K76" s="35"/>
      <c r="M76" s="43" t="s">
        <v>89</v>
      </c>
      <c r="N76" s="39">
        <v>1190000</v>
      </c>
      <c r="O76" s="45">
        <v>2.1999999999999999E-2</v>
      </c>
      <c r="P76" s="40">
        <v>1</v>
      </c>
      <c r="Q76" s="41">
        <v>1320</v>
      </c>
    </row>
    <row r="77" spans="4:17" ht="15" x14ac:dyDescent="0.2">
      <c r="D77" s="35"/>
      <c r="E77" s="35"/>
      <c r="F77" s="35"/>
      <c r="G77" s="35"/>
      <c r="H77" s="35"/>
      <c r="I77" s="35"/>
      <c r="J77" s="35"/>
      <c r="K77" s="35"/>
      <c r="M77" s="43" t="s">
        <v>90</v>
      </c>
      <c r="N77" s="39">
        <v>1190000</v>
      </c>
      <c r="O77" s="45">
        <v>1.4999999999999999E-2</v>
      </c>
      <c r="P77" s="40">
        <v>1</v>
      </c>
      <c r="Q77" s="41">
        <v>1320</v>
      </c>
    </row>
    <row r="78" spans="4:17" ht="15" x14ac:dyDescent="0.2">
      <c r="D78" s="35"/>
      <c r="E78" s="35"/>
      <c r="F78" s="35"/>
      <c r="G78" s="35"/>
      <c r="H78" s="35"/>
      <c r="I78" s="35"/>
      <c r="J78" s="35"/>
      <c r="K78" s="35"/>
      <c r="M78" s="43" t="s">
        <v>91</v>
      </c>
      <c r="N78" s="39">
        <v>1170000</v>
      </c>
      <c r="O78" s="45">
        <v>2.8000000000000001E-2</v>
      </c>
      <c r="P78" s="40">
        <v>1</v>
      </c>
      <c r="Q78" s="41">
        <v>1320</v>
      </c>
    </row>
    <row r="79" spans="4:17" ht="15" x14ac:dyDescent="0.2">
      <c r="D79" s="35"/>
      <c r="E79" s="35"/>
      <c r="F79" s="35"/>
      <c r="G79" s="35"/>
      <c r="H79" s="35"/>
      <c r="I79" s="35"/>
      <c r="J79" s="35"/>
      <c r="K79" s="35"/>
      <c r="M79" s="43" t="s">
        <v>92</v>
      </c>
      <c r="N79" s="39">
        <v>1145000</v>
      </c>
      <c r="O79" s="45">
        <v>2.1000000000000001E-2</v>
      </c>
      <c r="P79" s="40">
        <v>1</v>
      </c>
      <c r="Q79" s="41">
        <v>1320</v>
      </c>
    </row>
    <row r="80" spans="4:17" ht="15" x14ac:dyDescent="0.2">
      <c r="D80" s="35"/>
      <c r="E80" s="35"/>
      <c r="F80" s="35"/>
      <c r="G80" s="35"/>
      <c r="H80" s="35"/>
      <c r="I80" s="35"/>
      <c r="J80" s="35"/>
      <c r="K80" s="35"/>
      <c r="M80" s="43" t="s">
        <v>93</v>
      </c>
      <c r="N80" s="39">
        <v>1140000</v>
      </c>
      <c r="O80" s="45">
        <v>3.2000000000000001E-2</v>
      </c>
      <c r="P80" s="40">
        <v>1</v>
      </c>
      <c r="Q80" s="41">
        <v>1320</v>
      </c>
    </row>
    <row r="81" spans="4:17" ht="15" x14ac:dyDescent="0.2">
      <c r="D81" s="35"/>
      <c r="E81" s="35"/>
      <c r="F81" s="35"/>
      <c r="G81" s="35"/>
      <c r="H81" s="35"/>
      <c r="I81" s="35"/>
      <c r="J81" s="35"/>
      <c r="K81" s="35"/>
      <c r="M81" s="43" t="s">
        <v>94</v>
      </c>
      <c r="N81" s="39">
        <v>1120000</v>
      </c>
      <c r="O81" s="45">
        <v>0.02</v>
      </c>
      <c r="P81" s="40">
        <v>1</v>
      </c>
      <c r="Q81" s="41">
        <v>1320</v>
      </c>
    </row>
    <row r="82" spans="4:17" ht="15" x14ac:dyDescent="0.2">
      <c r="D82" s="35"/>
      <c r="E82" s="35"/>
      <c r="F82" s="35"/>
      <c r="G82" s="35"/>
      <c r="H82" s="35"/>
      <c r="I82" s="35"/>
      <c r="J82" s="35"/>
      <c r="K82" s="35"/>
      <c r="M82" s="43" t="s">
        <v>95</v>
      </c>
      <c r="N82" s="39">
        <v>1060000</v>
      </c>
      <c r="O82" s="45">
        <v>3.3000000000000002E-2</v>
      </c>
      <c r="P82" s="40">
        <v>1</v>
      </c>
      <c r="Q82" s="41">
        <v>1320</v>
      </c>
    </row>
    <row r="83" spans="4:17" ht="15" x14ac:dyDescent="0.2">
      <c r="D83" s="35"/>
      <c r="E83" s="35"/>
      <c r="F83" s="35"/>
      <c r="G83" s="35"/>
      <c r="H83" s="35"/>
      <c r="I83" s="35"/>
      <c r="J83" s="35"/>
      <c r="K83" s="35"/>
      <c r="M83" s="43" t="s">
        <v>96</v>
      </c>
      <c r="N83" s="39">
        <v>1030000</v>
      </c>
      <c r="O83" s="45">
        <v>2.7E-2</v>
      </c>
      <c r="P83" s="40">
        <v>1</v>
      </c>
      <c r="Q83" s="41">
        <v>1320</v>
      </c>
    </row>
    <row r="84" spans="4:17" ht="15" x14ac:dyDescent="0.2">
      <c r="D84" s="35"/>
      <c r="E84" s="35"/>
      <c r="F84" s="35"/>
      <c r="G84" s="35"/>
      <c r="H84" s="35"/>
      <c r="I84" s="35"/>
      <c r="J84" s="35"/>
      <c r="K84" s="35"/>
      <c r="M84" s="43" t="s">
        <v>97</v>
      </c>
      <c r="N84" s="39">
        <v>1050000</v>
      </c>
      <c r="O84" s="45">
        <v>2.5000000000000001E-2</v>
      </c>
      <c r="P84" s="40">
        <v>1</v>
      </c>
      <c r="Q84" s="41">
        <v>1320</v>
      </c>
    </row>
    <row r="85" spans="4:17" x14ac:dyDescent="0.2">
      <c r="D85" s="35"/>
      <c r="E85" s="35"/>
      <c r="F85" s="35"/>
      <c r="G85" s="35"/>
      <c r="H85" s="35"/>
      <c r="I85" s="35"/>
      <c r="J85" s="35"/>
      <c r="K85" s="35"/>
    </row>
    <row r="86" spans="4:17" x14ac:dyDescent="0.2">
      <c r="D86" s="35"/>
      <c r="E86" s="35"/>
      <c r="F86" s="35"/>
      <c r="G86" s="35"/>
      <c r="H86" s="35"/>
      <c r="I86" s="35"/>
      <c r="J86" s="35"/>
      <c r="K86" s="35"/>
    </row>
    <row r="87" spans="4:17" x14ac:dyDescent="0.2">
      <c r="D87" s="35"/>
      <c r="E87" s="35"/>
      <c r="F87" s="35"/>
      <c r="G87" s="35"/>
      <c r="H87" s="35"/>
      <c r="I87" s="35"/>
      <c r="J87" s="35"/>
      <c r="K87" s="35"/>
    </row>
    <row r="88" spans="4:17" x14ac:dyDescent="0.2">
      <c r="D88" s="35"/>
      <c r="E88" s="35"/>
      <c r="F88" s="35"/>
      <c r="G88" s="35"/>
      <c r="H88" s="35"/>
      <c r="I88" s="35"/>
      <c r="J88" s="35"/>
      <c r="K88" s="35"/>
    </row>
    <row r="89" spans="4:17" x14ac:dyDescent="0.2">
      <c r="D89" s="35"/>
      <c r="E89" s="35"/>
      <c r="F89" s="35"/>
      <c r="G89" s="35"/>
      <c r="H89" s="35"/>
      <c r="I89" s="35"/>
      <c r="J89" s="35"/>
      <c r="K89" s="35"/>
    </row>
    <row r="90" spans="4:17" x14ac:dyDescent="0.2">
      <c r="D90" s="35"/>
      <c r="E90" s="35"/>
      <c r="F90" s="35"/>
      <c r="G90" s="35"/>
      <c r="H90" s="35"/>
      <c r="I90" s="35"/>
      <c r="J90" s="35"/>
      <c r="K90" s="35"/>
    </row>
    <row r="91" spans="4:17" x14ac:dyDescent="0.2">
      <c r="D91" s="35"/>
      <c r="E91" s="35"/>
      <c r="F91" s="35"/>
      <c r="G91" s="35"/>
      <c r="H91" s="35"/>
      <c r="I91" s="35"/>
      <c r="J91" s="35"/>
      <c r="K91" s="35"/>
    </row>
    <row r="92" spans="4:17" x14ac:dyDescent="0.2">
      <c r="D92" s="35"/>
      <c r="E92" s="35"/>
      <c r="F92" s="35"/>
      <c r="G92" s="35"/>
      <c r="H92" s="35"/>
      <c r="I92" s="35"/>
      <c r="J92" s="35"/>
      <c r="K92" s="35"/>
    </row>
    <row r="93" spans="4:17" x14ac:dyDescent="0.2">
      <c r="D93" s="35"/>
      <c r="E93" s="35"/>
      <c r="F93" s="35"/>
      <c r="G93" s="35"/>
      <c r="H93" s="35"/>
      <c r="I93" s="35"/>
      <c r="J93" s="35"/>
      <c r="K93" s="35"/>
    </row>
    <row r="94" spans="4:17" x14ac:dyDescent="0.2">
      <c r="D94" s="35"/>
      <c r="E94" s="35"/>
      <c r="F94" s="35"/>
      <c r="G94" s="35"/>
      <c r="H94" s="35"/>
      <c r="I94" s="35"/>
      <c r="J94" s="35"/>
      <c r="K94" s="35"/>
    </row>
    <row r="95" spans="4:17" x14ac:dyDescent="0.2">
      <c r="D95" s="35"/>
      <c r="E95" s="35"/>
      <c r="F95" s="35"/>
      <c r="G95" s="35"/>
      <c r="H95" s="35"/>
      <c r="I95" s="35"/>
      <c r="J95" s="35"/>
      <c r="K95" s="35"/>
    </row>
    <row r="96" spans="4:17" x14ac:dyDescent="0.2">
      <c r="D96" s="35"/>
      <c r="E96" s="35"/>
      <c r="F96" s="35"/>
      <c r="G96" s="35"/>
      <c r="H96" s="35"/>
      <c r="I96" s="35"/>
      <c r="J96" s="35"/>
      <c r="K96" s="35"/>
    </row>
    <row r="97" spans="4:11" ht="15.75" customHeight="1" x14ac:dyDescent="0.2">
      <c r="D97" s="35"/>
      <c r="E97" s="35"/>
      <c r="F97" s="35"/>
      <c r="G97" s="35"/>
      <c r="H97" s="35"/>
      <c r="I97" s="35"/>
      <c r="J97" s="35"/>
      <c r="K97" s="35"/>
    </row>
    <row r="98" spans="4:11" ht="15.75" customHeight="1" x14ac:dyDescent="0.2">
      <c r="D98" s="35"/>
      <c r="E98" s="35"/>
      <c r="F98" s="35"/>
      <c r="G98" s="35"/>
      <c r="H98" s="35"/>
      <c r="I98" s="35"/>
      <c r="J98" s="35"/>
      <c r="K98" s="35"/>
    </row>
    <row r="99" spans="4:11" ht="45.75" customHeight="1" x14ac:dyDescent="0.2">
      <c r="I99" s="35"/>
      <c r="J99" s="35"/>
      <c r="K99" s="35"/>
    </row>
    <row r="100" spans="4:11" ht="15" customHeight="1" x14ac:dyDescent="0.2">
      <c r="I100" s="35"/>
      <c r="J100" s="35"/>
      <c r="K100" s="35"/>
    </row>
    <row r="101" spans="4:11" ht="15" customHeight="1" x14ac:dyDescent="0.2">
      <c r="I101" s="35"/>
      <c r="J101" s="35"/>
      <c r="K101" s="35"/>
    </row>
    <row r="102" spans="4:11" ht="15" customHeight="1" x14ac:dyDescent="0.2">
      <c r="I102" s="35"/>
      <c r="J102" s="35"/>
      <c r="K102" s="35"/>
    </row>
    <row r="103" spans="4:11" ht="15" customHeight="1" x14ac:dyDescent="0.2">
      <c r="I103" s="35"/>
      <c r="J103" s="35"/>
      <c r="K103" s="35"/>
    </row>
    <row r="104" spans="4:11" ht="15" customHeight="1" x14ac:dyDescent="0.2">
      <c r="I104" s="35"/>
      <c r="J104" s="35"/>
      <c r="K104" s="35"/>
    </row>
    <row r="105" spans="4:11" ht="15" customHeight="1" x14ac:dyDescent="0.2">
      <c r="I105" s="35"/>
      <c r="J105" s="35"/>
      <c r="K105" s="35"/>
    </row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/>
    <row r="116" spans="9:11" ht="15" customHeight="1" x14ac:dyDescent="0.2">
      <c r="J116" s="44"/>
      <c r="K116" s="44"/>
    </row>
    <row r="117" spans="9:11" ht="15" customHeight="1" x14ac:dyDescent="0.2">
      <c r="J117" s="44"/>
      <c r="K117" s="44"/>
    </row>
    <row r="118" spans="9:11" ht="15" customHeight="1" x14ac:dyDescent="0.2">
      <c r="J118" s="44"/>
      <c r="K118" s="44"/>
    </row>
    <row r="119" spans="9:11" ht="15" customHeight="1" x14ac:dyDescent="0.2"/>
    <row r="120" spans="9:11" ht="15" customHeight="1" x14ac:dyDescent="0.2"/>
    <row r="121" spans="9:11" ht="15" customHeight="1" x14ac:dyDescent="0.2">
      <c r="I121" s="33"/>
      <c r="J121" s="33"/>
      <c r="K121" s="33"/>
    </row>
  </sheetData>
  <mergeCells count="114">
    <mergeCell ref="C47:F47"/>
    <mergeCell ref="G47:K47"/>
    <mergeCell ref="J20:K20"/>
    <mergeCell ref="A17:B17"/>
    <mergeCell ref="J17:K17"/>
    <mergeCell ref="J18:K18"/>
    <mergeCell ref="J19:K19"/>
    <mergeCell ref="A18:B18"/>
    <mergeCell ref="A19:B19"/>
    <mergeCell ref="E17:G17"/>
    <mergeCell ref="E18:G18"/>
    <mergeCell ref="E19:G19"/>
    <mergeCell ref="H17:I17"/>
    <mergeCell ref="H18:I18"/>
    <mergeCell ref="H19:I19"/>
    <mergeCell ref="C44:F44"/>
    <mergeCell ref="G44:K44"/>
    <mergeCell ref="C45:F45"/>
    <mergeCell ref="G45:K45"/>
    <mergeCell ref="C46:F46"/>
    <mergeCell ref="G46:K46"/>
    <mergeCell ref="A42:K42"/>
    <mergeCell ref="C43:F43"/>
    <mergeCell ref="G43:K43"/>
    <mergeCell ref="A40:B40"/>
    <mergeCell ref="C40:C41"/>
    <mergeCell ref="D40:F40"/>
    <mergeCell ref="I40:K40"/>
    <mergeCell ref="A41:B41"/>
    <mergeCell ref="D41:F41"/>
    <mergeCell ref="G41:H41"/>
    <mergeCell ref="I41:K41"/>
    <mergeCell ref="A37:B37"/>
    <mergeCell ref="D37:F37"/>
    <mergeCell ref="I37:K37"/>
    <mergeCell ref="A38:B38"/>
    <mergeCell ref="A39:B39"/>
    <mergeCell ref="D39:F39"/>
    <mergeCell ref="G39:H39"/>
    <mergeCell ref="I39:K39"/>
    <mergeCell ref="A35:B35"/>
    <mergeCell ref="D35:F35"/>
    <mergeCell ref="I35:K35"/>
    <mergeCell ref="A36:B36"/>
    <mergeCell ref="D36:F36"/>
    <mergeCell ref="G36:H36"/>
    <mergeCell ref="I36:K36"/>
    <mergeCell ref="A33:B33"/>
    <mergeCell ref="D33:F33"/>
    <mergeCell ref="G33:H33"/>
    <mergeCell ref="I33:K33"/>
    <mergeCell ref="A34:B34"/>
    <mergeCell ref="E34:F34"/>
    <mergeCell ref="J34:K34"/>
    <mergeCell ref="A31:B31"/>
    <mergeCell ref="D31:F31"/>
    <mergeCell ref="G31:H31"/>
    <mergeCell ref="I31:K31"/>
    <mergeCell ref="A32:B32"/>
    <mergeCell ref="D32:F32"/>
    <mergeCell ref="G32:H32"/>
    <mergeCell ref="I32:K32"/>
    <mergeCell ref="A30:B30"/>
    <mergeCell ref="D30:F30"/>
    <mergeCell ref="I30:K30"/>
    <mergeCell ref="D29:F29"/>
    <mergeCell ref="G29:H29"/>
    <mergeCell ref="I29:K29"/>
    <mergeCell ref="A27:B27"/>
    <mergeCell ref="D27:G27"/>
    <mergeCell ref="H27:K27"/>
    <mergeCell ref="A28:B28"/>
    <mergeCell ref="D28:G28"/>
    <mergeCell ref="H28:K28"/>
    <mergeCell ref="A25:B25"/>
    <mergeCell ref="D25:G25"/>
    <mergeCell ref="H25:K25"/>
    <mergeCell ref="A26:B26"/>
    <mergeCell ref="D26:G26"/>
    <mergeCell ref="H26:K26"/>
    <mergeCell ref="A24:C24"/>
    <mergeCell ref="D24:G24"/>
    <mergeCell ref="H24:I24"/>
    <mergeCell ref="A23:B23"/>
    <mergeCell ref="E23:G23"/>
    <mergeCell ref="H23:I23"/>
    <mergeCell ref="A15:B15"/>
    <mergeCell ref="E15:G15"/>
    <mergeCell ref="H15:I15"/>
    <mergeCell ref="J15:K15"/>
    <mergeCell ref="A22:B22"/>
    <mergeCell ref="E22:G22"/>
    <mergeCell ref="H22:K22"/>
    <mergeCell ref="A21:B21"/>
    <mergeCell ref="E21:G21"/>
    <mergeCell ref="H21:I21"/>
    <mergeCell ref="J21:K21"/>
    <mergeCell ref="A16:B16"/>
    <mergeCell ref="A20:B20"/>
    <mergeCell ref="E16:G16"/>
    <mergeCell ref="E20:G20"/>
    <mergeCell ref="H16:I16"/>
    <mergeCell ref="H20:I20"/>
    <mergeCell ref="J16:K16"/>
    <mergeCell ref="A13:B13"/>
    <mergeCell ref="E13:G13"/>
    <mergeCell ref="H13:I13"/>
    <mergeCell ref="J13:K13"/>
    <mergeCell ref="A14:B14"/>
    <mergeCell ref="E14:G14"/>
    <mergeCell ref="H14:I14"/>
    <mergeCell ref="J14:K14"/>
    <mergeCell ref="A11:B11"/>
    <mergeCell ref="A12:K12"/>
  </mergeCells>
  <dataValidations count="2">
    <dataValidation allowBlank="1" showInputMessage="1" showErrorMessage="1" promptTitle="Введите свой город" sqref="D22 D14:D19 C27 A27" xr:uid="{6085473C-2336-4779-8DAB-ABC181E954FD}"/>
    <dataValidation type="list" allowBlank="1" showInputMessage="1" showErrorMessage="1" sqref="A14:A19" xr:uid="{9543CF28-BC05-4180-8ABB-5AA21C394A5C}">
      <formula1>$M$61:$M$84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B977F-7F8C-4F2C-ABBD-FE14CF726F41}">
  <dimension ref="A10:T121"/>
  <sheetViews>
    <sheetView topLeftCell="A23" workbookViewId="0">
      <selection activeCell="C43" sqref="C43:K47"/>
    </sheetView>
  </sheetViews>
  <sheetFormatPr defaultRowHeight="14.25" x14ac:dyDescent="0.2"/>
  <cols>
    <col min="1" max="1" width="18.42578125" style="26" customWidth="1"/>
    <col min="2" max="2" width="2.42578125" style="26" customWidth="1"/>
    <col min="3" max="3" width="20.42578125" style="26" customWidth="1"/>
    <col min="4" max="4" width="13" style="26" customWidth="1"/>
    <col min="5" max="5" width="3.85546875" style="26" customWidth="1"/>
    <col min="6" max="6" width="7.85546875" style="26" customWidth="1"/>
    <col min="7" max="7" width="3.5703125" style="26" customWidth="1"/>
    <col min="8" max="8" width="5" style="26" customWidth="1"/>
    <col min="9" max="9" width="11.140625" style="26" customWidth="1"/>
    <col min="10" max="10" width="3.140625" style="26" customWidth="1"/>
    <col min="11" max="11" width="12" style="26" customWidth="1"/>
    <col min="12" max="12" width="9.140625" style="26"/>
    <col min="13" max="13" width="23.28515625" style="26" customWidth="1"/>
    <col min="14" max="14" width="9.140625" style="26"/>
    <col min="15" max="15" width="12" style="26" customWidth="1"/>
    <col min="16" max="16" width="9.140625" style="26"/>
    <col min="17" max="17" width="12.28515625" style="26" customWidth="1"/>
    <col min="18" max="16384" width="9.140625" style="26"/>
  </cols>
  <sheetData>
    <row r="10" spans="1:13" ht="16.5" customHeight="1" x14ac:dyDescent="0.2"/>
    <row r="11" spans="1:13" ht="13.5" customHeight="1" x14ac:dyDescent="0.2">
      <c r="A11" s="247"/>
      <c r="B11" s="247"/>
    </row>
    <row r="12" spans="1:13" ht="29.25" customHeight="1" x14ac:dyDescent="0.2">
      <c r="A12" s="237" t="s">
        <v>100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3" ht="15" customHeight="1" x14ac:dyDescent="0.2">
      <c r="A13" s="239" t="s">
        <v>56</v>
      </c>
      <c r="B13" s="243"/>
      <c r="C13" s="49" t="s">
        <v>57</v>
      </c>
      <c r="D13" s="50" t="s">
        <v>58</v>
      </c>
      <c r="E13" s="244" t="s">
        <v>101</v>
      </c>
      <c r="F13" s="244"/>
      <c r="G13" s="244"/>
      <c r="H13" s="244" t="s">
        <v>59</v>
      </c>
      <c r="I13" s="244"/>
      <c r="J13" s="244" t="s">
        <v>60</v>
      </c>
      <c r="K13" s="240"/>
    </row>
    <row r="14" spans="1:13" ht="15" customHeight="1" x14ac:dyDescent="0.2">
      <c r="A14" s="245" t="s">
        <v>10</v>
      </c>
      <c r="B14" s="245"/>
      <c r="C14" s="46">
        <f>VLOOKUP(A14,ГОРОДА36[],2,0)</f>
        <v>170000</v>
      </c>
      <c r="D14" s="47">
        <f>VLOOKUP(A14,ГОРОДА36[],3,0)</f>
        <v>1.2E-2</v>
      </c>
      <c r="E14" s="191">
        <v>1</v>
      </c>
      <c r="F14" s="191"/>
      <c r="G14" s="191"/>
      <c r="H14" s="246">
        <f>VLOOKUP(A14,ГОРОДА36[],4,0)</f>
        <v>0.2</v>
      </c>
      <c r="I14" s="246"/>
      <c r="J14" s="192">
        <f t="shared" ref="J14:J19" si="0">C14*D14*E14</f>
        <v>2040</v>
      </c>
      <c r="K14" s="192"/>
    </row>
    <row r="15" spans="1:13" ht="15" customHeight="1" x14ac:dyDescent="0.2">
      <c r="A15" s="245" t="s">
        <v>11</v>
      </c>
      <c r="B15" s="245"/>
      <c r="C15" s="46">
        <f>VLOOKUP(A15,ГОРОДА36[],2,0)</f>
        <v>340000</v>
      </c>
      <c r="D15" s="47">
        <f>VLOOKUP(A15,ГОРОДА36[],3,0)</f>
        <v>1.4E-2</v>
      </c>
      <c r="E15" s="191">
        <v>1</v>
      </c>
      <c r="F15" s="191"/>
      <c r="G15" s="191"/>
      <c r="H15" s="246">
        <f>VLOOKUP(A15,ГОРОДА36[],4,0)</f>
        <v>0.2</v>
      </c>
      <c r="I15" s="246"/>
      <c r="J15" s="192">
        <f t="shared" si="0"/>
        <v>4760</v>
      </c>
      <c r="K15" s="192"/>
    </row>
    <row r="16" spans="1:13" ht="15" customHeight="1" x14ac:dyDescent="0.2">
      <c r="A16" s="245" t="s">
        <v>12</v>
      </c>
      <c r="B16" s="245"/>
      <c r="C16" s="46">
        <f>VLOOKUP(A16,ГОРОДА36[],2,0)</f>
        <v>360000</v>
      </c>
      <c r="D16" s="47">
        <f>VLOOKUP(A16,ГОРОДА36[],3,0)</f>
        <v>1.7999999999999999E-2</v>
      </c>
      <c r="E16" s="191">
        <v>1</v>
      </c>
      <c r="F16" s="191"/>
      <c r="G16" s="191"/>
      <c r="H16" s="246">
        <f>VLOOKUP(A16,ГОРОДА36[],4,0)</f>
        <v>0.2</v>
      </c>
      <c r="I16" s="246"/>
      <c r="J16" s="192">
        <f t="shared" si="0"/>
        <v>6479.9999999999991</v>
      </c>
      <c r="K16" s="192"/>
      <c r="M16" s="26" t="s">
        <v>119</v>
      </c>
    </row>
    <row r="17" spans="1:20" ht="15" customHeight="1" x14ac:dyDescent="0.2">
      <c r="A17" s="245" t="s">
        <v>13</v>
      </c>
      <c r="B17" s="245"/>
      <c r="C17" s="46">
        <f>VLOOKUP(A17,ГОРОДА36[],2,0)</f>
        <v>353000</v>
      </c>
      <c r="D17" s="47">
        <f>VLOOKUP(A17,ГОРОДА36[],3,0)</f>
        <v>1.6E-2</v>
      </c>
      <c r="E17" s="191">
        <v>1</v>
      </c>
      <c r="F17" s="191"/>
      <c r="G17" s="191"/>
      <c r="H17" s="246">
        <f>VLOOKUP(A17,ГОРОДА36[],4,0)</f>
        <v>0.2</v>
      </c>
      <c r="I17" s="246"/>
      <c r="J17" s="192">
        <f t="shared" si="0"/>
        <v>5648</v>
      </c>
      <c r="K17" s="192"/>
      <c r="T17" s="26" t="s">
        <v>117</v>
      </c>
    </row>
    <row r="18" spans="1:20" ht="15" customHeight="1" x14ac:dyDescent="0.2">
      <c r="A18" s="245" t="s">
        <v>24</v>
      </c>
      <c r="B18" s="245"/>
      <c r="C18" s="46">
        <f>VLOOKUP(A18,ГОРОДА36[],2,0)</f>
        <v>205000</v>
      </c>
      <c r="D18" s="47">
        <f>VLOOKUP(A18,ГОРОДА36[],3,0)</f>
        <v>1.2E-2</v>
      </c>
      <c r="E18" s="191">
        <v>1</v>
      </c>
      <c r="F18" s="191"/>
      <c r="G18" s="191"/>
      <c r="H18" s="246">
        <f>VLOOKUP(A18,ГОРОДА36[],4,0)</f>
        <v>0.2</v>
      </c>
      <c r="I18" s="246"/>
      <c r="J18" s="192">
        <f t="shared" si="0"/>
        <v>2460</v>
      </c>
      <c r="K18" s="192"/>
      <c r="M18" s="26" t="s">
        <v>120</v>
      </c>
      <c r="O18" s="26" t="s">
        <v>118</v>
      </c>
    </row>
    <row r="19" spans="1:20" ht="15" customHeight="1" x14ac:dyDescent="0.2">
      <c r="A19" s="245" t="s">
        <v>79</v>
      </c>
      <c r="B19" s="245"/>
      <c r="C19" s="46">
        <f>VLOOKUP(A19,ГОРОДА36[],2,0)</f>
        <v>1996000</v>
      </c>
      <c r="D19" s="47">
        <f>VLOOKUP(A19,ГОРОДА36[],3,0)</f>
        <v>2.1999999999999999E-2</v>
      </c>
      <c r="E19" s="191">
        <v>0</v>
      </c>
      <c r="F19" s="191"/>
      <c r="G19" s="191"/>
      <c r="H19" s="246">
        <f>VLOOKUP(A19,ГОРОДА36[],4,0)</f>
        <v>0.4</v>
      </c>
      <c r="I19" s="246"/>
      <c r="J19" s="192">
        <f t="shared" si="0"/>
        <v>0</v>
      </c>
      <c r="K19" s="192"/>
      <c r="M19" s="26" t="s">
        <v>121</v>
      </c>
    </row>
    <row r="20" spans="1:20" ht="15" customHeight="1" x14ac:dyDescent="0.2">
      <c r="A20" s="248"/>
      <c r="B20" s="248"/>
      <c r="C20" s="27"/>
      <c r="D20" s="27"/>
      <c r="E20" s="254">
        <f>SUM(E14:G19)</f>
        <v>5</v>
      </c>
      <c r="F20" s="253"/>
      <c r="G20" s="253"/>
      <c r="H20" s="255">
        <f>(H14*J14+H15*J15+H16*J16+H17*J17+H18*J18+H19*J19)/J20</f>
        <v>0.2</v>
      </c>
      <c r="I20" s="255"/>
      <c r="J20" s="284">
        <f>SUM(J14:J19)</f>
        <v>21388</v>
      </c>
      <c r="K20" s="285"/>
    </row>
    <row r="21" spans="1:20" ht="15" customHeight="1" x14ac:dyDescent="0.2">
      <c r="A21" s="248"/>
      <c r="B21" s="248"/>
      <c r="C21" s="27"/>
      <c r="D21" s="27"/>
      <c r="E21" s="253"/>
      <c r="F21" s="253"/>
      <c r="G21" s="253"/>
      <c r="H21" s="253"/>
      <c r="I21" s="253"/>
      <c r="J21" s="253"/>
      <c r="K21" s="253"/>
    </row>
    <row r="22" spans="1:20" ht="15" customHeight="1" x14ac:dyDescent="0.2">
      <c r="A22" s="251" t="s">
        <v>61</v>
      </c>
      <c r="B22" s="251"/>
      <c r="C22" s="28" t="s">
        <v>62</v>
      </c>
      <c r="D22" s="51" t="s">
        <v>63</v>
      </c>
      <c r="E22" s="225" t="s">
        <v>64</v>
      </c>
      <c r="F22" s="226"/>
      <c r="G22" s="252"/>
      <c r="H22" s="228" t="s">
        <v>102</v>
      </c>
      <c r="I22" s="228"/>
      <c r="J22" s="228"/>
      <c r="K22" s="228"/>
    </row>
    <row r="23" spans="1:20" ht="15" customHeight="1" x14ac:dyDescent="0.2">
      <c r="A23" s="248"/>
      <c r="B23" s="248"/>
      <c r="C23" s="52">
        <v>50</v>
      </c>
      <c r="D23" s="53">
        <v>0.3</v>
      </c>
      <c r="E23" s="249">
        <v>0.1</v>
      </c>
      <c r="F23" s="249"/>
      <c r="G23" s="249"/>
      <c r="H23" s="250">
        <v>2</v>
      </c>
      <c r="I23" s="250"/>
      <c r="J23" s="54" t="s">
        <v>67</v>
      </c>
      <c r="K23" s="54"/>
    </row>
    <row r="24" spans="1:20" ht="29.25" customHeight="1" x14ac:dyDescent="0.2">
      <c r="A24" s="237" t="s">
        <v>103</v>
      </c>
      <c r="B24" s="237"/>
      <c r="C24" s="237"/>
      <c r="D24" s="257" t="s">
        <v>65</v>
      </c>
      <c r="E24" s="258"/>
      <c r="F24" s="258"/>
      <c r="G24" s="259"/>
      <c r="H24" s="260" t="s">
        <v>66</v>
      </c>
      <c r="I24" s="260"/>
      <c r="J24" s="55">
        <f>H23</f>
        <v>2</v>
      </c>
      <c r="K24" s="56" t="s">
        <v>67</v>
      </c>
    </row>
    <row r="25" spans="1:20" ht="20.100000000000001" customHeight="1" x14ac:dyDescent="0.2">
      <c r="A25" s="251" t="s">
        <v>68</v>
      </c>
      <c r="B25" s="251"/>
      <c r="C25" s="57"/>
      <c r="D25" s="256">
        <f>D27*$C$23</f>
        <v>8911.6666666666679</v>
      </c>
      <c r="E25" s="256"/>
      <c r="F25" s="256"/>
      <c r="G25" s="256"/>
      <c r="H25" s="256">
        <f>H27*$C$23</f>
        <v>213880.00000000003</v>
      </c>
      <c r="I25" s="256"/>
      <c r="J25" s="256"/>
      <c r="K25" s="256"/>
    </row>
    <row r="26" spans="1:20" ht="20.100000000000001" customHeight="1" x14ac:dyDescent="0.2">
      <c r="A26" s="251" t="s">
        <v>104</v>
      </c>
      <c r="B26" s="251"/>
      <c r="C26" s="57"/>
      <c r="D26" s="222">
        <f>J20/12</f>
        <v>1782.3333333333333</v>
      </c>
      <c r="E26" s="222"/>
      <c r="F26" s="222"/>
      <c r="G26" s="222"/>
      <c r="H26" s="222">
        <f>J20*H23</f>
        <v>42776</v>
      </c>
      <c r="I26" s="222"/>
      <c r="J26" s="222"/>
      <c r="K26" s="222"/>
    </row>
    <row r="27" spans="1:20" ht="20.100000000000001" customHeight="1" x14ac:dyDescent="0.2">
      <c r="A27" s="251" t="s">
        <v>69</v>
      </c>
      <c r="B27" s="251"/>
      <c r="C27" s="29"/>
      <c r="D27" s="264">
        <f>D26*$E$23</f>
        <v>178.23333333333335</v>
      </c>
      <c r="E27" s="264"/>
      <c r="F27" s="264"/>
      <c r="G27" s="264"/>
      <c r="H27" s="264">
        <f>H26*$E$23</f>
        <v>4277.6000000000004</v>
      </c>
      <c r="I27" s="264"/>
      <c r="J27" s="264"/>
      <c r="K27" s="264"/>
    </row>
    <row r="28" spans="1:20" ht="20.100000000000001" customHeight="1" x14ac:dyDescent="0.2">
      <c r="A28" s="251" t="s">
        <v>70</v>
      </c>
      <c r="B28" s="251"/>
      <c r="C28" s="58"/>
      <c r="D28" s="265">
        <f>D25*$D$23</f>
        <v>2673.5000000000005</v>
      </c>
      <c r="E28" s="265"/>
      <c r="F28" s="265"/>
      <c r="G28" s="265"/>
      <c r="H28" s="265">
        <f>H25*$D$23</f>
        <v>64164.000000000007</v>
      </c>
      <c r="I28" s="265"/>
      <c r="J28" s="265"/>
      <c r="K28" s="265"/>
    </row>
    <row r="29" spans="1:20" ht="29.25" customHeight="1" x14ac:dyDescent="0.2">
      <c r="A29" s="48" t="s">
        <v>149</v>
      </c>
      <c r="B29" s="82">
        <f>H23</f>
        <v>2</v>
      </c>
      <c r="C29" s="83" t="s">
        <v>67</v>
      </c>
      <c r="D29" s="261" t="s">
        <v>105</v>
      </c>
      <c r="E29" s="261"/>
      <c r="F29" s="261"/>
      <c r="G29" s="262" t="s">
        <v>106</v>
      </c>
      <c r="H29" s="263"/>
      <c r="I29" s="219" t="s">
        <v>74</v>
      </c>
      <c r="J29" s="219"/>
      <c r="K29" s="219"/>
    </row>
    <row r="30" spans="1:20" ht="20.100000000000001" customHeight="1" x14ac:dyDescent="0.2">
      <c r="A30" s="251" t="s">
        <v>75</v>
      </c>
      <c r="B30" s="251"/>
      <c r="C30" s="60" t="s">
        <v>107</v>
      </c>
      <c r="D30" s="268">
        <f>(D31+D32)*12*H23</f>
        <v>10955.199999999999</v>
      </c>
      <c r="E30" s="268"/>
      <c r="F30" s="268"/>
      <c r="G30" s="61" t="s">
        <v>108</v>
      </c>
      <c r="H30" s="62">
        <f>D30/I30</f>
        <v>4.979636363636363</v>
      </c>
      <c r="I30" s="269">
        <f>VLOOKUP(A14,ГОРОДА36[],5,0)*E20+I31*12*H23+I32*12*H23</f>
        <v>2200</v>
      </c>
      <c r="J30" s="269"/>
      <c r="K30" s="269"/>
    </row>
    <row r="31" spans="1:20" ht="15" customHeight="1" x14ac:dyDescent="0.2">
      <c r="A31" s="251"/>
      <c r="B31" s="251"/>
      <c r="C31" s="32" t="s">
        <v>109</v>
      </c>
      <c r="D31" s="266">
        <v>100</v>
      </c>
      <c r="E31" s="266"/>
      <c r="F31" s="266"/>
      <c r="G31" s="267"/>
      <c r="H31" s="267"/>
      <c r="I31" s="266">
        <v>0</v>
      </c>
      <c r="J31" s="266"/>
      <c r="K31" s="266"/>
    </row>
    <row r="32" spans="1:20" ht="15" customHeight="1" x14ac:dyDescent="0.2">
      <c r="A32" s="251"/>
      <c r="B32" s="251"/>
      <c r="C32" s="32" t="s">
        <v>110</v>
      </c>
      <c r="D32" s="266">
        <f>(J14/12*H14)+(J15/12*H15)+(J16/12*H16)+(J17/12*H17)+(J18/12*H18)+(J19/12*H19)</f>
        <v>356.46666666666664</v>
      </c>
      <c r="E32" s="266"/>
      <c r="F32" s="266"/>
      <c r="G32" s="267"/>
      <c r="H32" s="267"/>
      <c r="I32" s="266">
        <v>0</v>
      </c>
      <c r="J32" s="266"/>
      <c r="K32" s="266"/>
    </row>
    <row r="33" spans="1:11" ht="15" customHeight="1" x14ac:dyDescent="0.2">
      <c r="A33" s="251"/>
      <c r="B33" s="251"/>
      <c r="C33" s="31"/>
      <c r="D33" s="273"/>
      <c r="E33" s="273"/>
      <c r="F33" s="273"/>
      <c r="G33" s="274"/>
      <c r="H33" s="274"/>
      <c r="I33" s="273"/>
      <c r="J33" s="273"/>
      <c r="K33" s="273"/>
    </row>
    <row r="34" spans="1:11" ht="20.100000000000001" customHeight="1" x14ac:dyDescent="0.2">
      <c r="A34" s="251" t="s">
        <v>111</v>
      </c>
      <c r="B34" s="251"/>
      <c r="C34" s="60" t="s">
        <v>98</v>
      </c>
      <c r="D34" s="63">
        <f>D30/(D28/30)/30</f>
        <v>4.0976996446605556</v>
      </c>
      <c r="E34" s="275" t="s">
        <v>15</v>
      </c>
      <c r="F34" s="275"/>
      <c r="G34" s="61" t="s">
        <v>108</v>
      </c>
      <c r="H34" s="62">
        <f>D34/I34</f>
        <v>4.979636363636363</v>
      </c>
      <c r="I34" s="64">
        <f>I30/(D28/30)/30</f>
        <v>0.82289134093884397</v>
      </c>
      <c r="J34" s="275" t="s">
        <v>15</v>
      </c>
      <c r="K34" s="275"/>
    </row>
    <row r="35" spans="1:11" ht="15" customHeight="1" x14ac:dyDescent="0.2">
      <c r="A35" s="251"/>
      <c r="B35" s="251"/>
      <c r="C35" s="60" t="s">
        <v>76</v>
      </c>
      <c r="D35" s="270">
        <f>(D28-D31-D32)/(D31+D32)</f>
        <v>4.8569446472907858</v>
      </c>
      <c r="E35" s="270"/>
      <c r="F35" s="270"/>
      <c r="G35" s="61" t="s">
        <v>108</v>
      </c>
      <c r="H35" s="62">
        <f>I35/D35</f>
        <v>5.79900669882357</v>
      </c>
      <c r="I35" s="270">
        <f>(H28-I30)/I30</f>
        <v>28.165454545454548</v>
      </c>
      <c r="J35" s="270"/>
      <c r="K35" s="270"/>
    </row>
    <row r="36" spans="1:11" ht="15" customHeight="1" x14ac:dyDescent="0.2">
      <c r="A36" s="251"/>
      <c r="B36" s="251"/>
      <c r="C36" s="65"/>
      <c r="D36" s="271"/>
      <c r="E36" s="271"/>
      <c r="F36" s="271"/>
      <c r="G36" s="272"/>
      <c r="H36" s="272"/>
      <c r="I36" s="271"/>
      <c r="J36" s="271"/>
      <c r="K36" s="271"/>
    </row>
    <row r="37" spans="1:11" ht="20.100000000000001" customHeight="1" x14ac:dyDescent="0.2">
      <c r="A37" s="251" t="s">
        <v>73</v>
      </c>
      <c r="B37" s="251"/>
      <c r="C37" s="60" t="s">
        <v>112</v>
      </c>
      <c r="D37" s="280">
        <f>D30/H27</f>
        <v>2.561062277912848</v>
      </c>
      <c r="E37" s="280"/>
      <c r="F37" s="280"/>
      <c r="G37" s="61" t="s">
        <v>108</v>
      </c>
      <c r="H37" s="62">
        <f>D37/I37</f>
        <v>4.979636363636363</v>
      </c>
      <c r="I37" s="281">
        <f>I30/H27</f>
        <v>0.51430708808677761</v>
      </c>
      <c r="J37" s="281"/>
      <c r="K37" s="281"/>
    </row>
    <row r="38" spans="1:11" ht="15" customHeight="1" x14ac:dyDescent="0.2">
      <c r="A38" s="251"/>
      <c r="B38" s="251"/>
      <c r="C38" s="66" t="s">
        <v>71</v>
      </c>
      <c r="D38" s="67">
        <f>D35</f>
        <v>4.8569446472907858</v>
      </c>
      <c r="E38" s="59" t="s">
        <v>72</v>
      </c>
      <c r="F38" s="68">
        <v>1</v>
      </c>
      <c r="G38" s="61" t="s">
        <v>108</v>
      </c>
      <c r="H38" s="68">
        <f>I38/D38</f>
        <v>5.79900669882357</v>
      </c>
      <c r="I38" s="69">
        <f>I35</f>
        <v>28.165454545454548</v>
      </c>
      <c r="J38" s="70" t="s">
        <v>72</v>
      </c>
      <c r="K38" s="71">
        <v>1</v>
      </c>
    </row>
    <row r="39" spans="1:11" ht="15" customHeight="1" x14ac:dyDescent="0.2">
      <c r="A39" s="251"/>
      <c r="B39" s="251"/>
      <c r="C39" s="31"/>
      <c r="D39" s="282"/>
      <c r="E39" s="282"/>
      <c r="F39" s="282"/>
      <c r="G39" s="283"/>
      <c r="H39" s="283"/>
      <c r="I39" s="282"/>
      <c r="J39" s="282"/>
      <c r="K39" s="282"/>
    </row>
    <row r="40" spans="1:11" ht="20.100000000000001" customHeight="1" x14ac:dyDescent="0.2">
      <c r="A40" s="251" t="s">
        <v>113</v>
      </c>
      <c r="B40" s="251"/>
      <c r="C40" s="276" t="s">
        <v>114</v>
      </c>
      <c r="D40" s="277">
        <f>D30/H25</f>
        <v>5.1221245558256953E-2</v>
      </c>
      <c r="E40" s="277"/>
      <c r="F40" s="277"/>
      <c r="G40" s="61" t="s">
        <v>108</v>
      </c>
      <c r="H40" s="62">
        <f>D40/I40</f>
        <v>4.979636363636363</v>
      </c>
      <c r="I40" s="278">
        <f>I30/H25</f>
        <v>1.0286141761735552E-2</v>
      </c>
      <c r="J40" s="278"/>
      <c r="K40" s="278"/>
    </row>
    <row r="41" spans="1:11" ht="15" customHeight="1" x14ac:dyDescent="0.2">
      <c r="A41" s="248"/>
      <c r="B41" s="248"/>
      <c r="C41" s="276"/>
      <c r="D41" s="279"/>
      <c r="E41" s="279"/>
      <c r="F41" s="279"/>
      <c r="G41" s="279"/>
      <c r="H41" s="279"/>
      <c r="I41" s="279"/>
      <c r="J41" s="279"/>
      <c r="K41" s="279"/>
    </row>
    <row r="42" spans="1:11" ht="30" customHeight="1" x14ac:dyDescent="0.2">
      <c r="A42" s="237" t="s">
        <v>115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1:11" ht="15" customHeight="1" x14ac:dyDescent="0.2">
      <c r="A43" s="72"/>
      <c r="B43" s="34"/>
      <c r="C43" s="187" t="s">
        <v>116</v>
      </c>
      <c r="D43" s="187"/>
      <c r="E43" s="187"/>
      <c r="F43" s="187"/>
      <c r="G43" s="187" t="s">
        <v>37</v>
      </c>
      <c r="H43" s="187"/>
      <c r="I43" s="187"/>
      <c r="J43" s="187"/>
      <c r="K43" s="187"/>
    </row>
    <row r="44" spans="1:11" ht="15" customHeight="1" x14ac:dyDescent="0.2">
      <c r="A44" s="30"/>
      <c r="B44" s="30"/>
      <c r="C44" s="187" t="s">
        <v>154</v>
      </c>
      <c r="D44" s="187"/>
      <c r="E44" s="187"/>
      <c r="F44" s="187"/>
      <c r="G44" s="187" t="s">
        <v>38</v>
      </c>
      <c r="H44" s="187"/>
      <c r="I44" s="187"/>
      <c r="J44" s="187"/>
      <c r="K44" s="187"/>
    </row>
    <row r="45" spans="1:11" ht="15.75" x14ac:dyDescent="0.2">
      <c r="A45" s="30"/>
      <c r="B45" s="30"/>
      <c r="C45" s="187" t="s">
        <v>34</v>
      </c>
      <c r="D45" s="187"/>
      <c r="E45" s="187"/>
      <c r="F45" s="187"/>
      <c r="G45" s="187" t="s">
        <v>39</v>
      </c>
      <c r="H45" s="187"/>
      <c r="I45" s="187"/>
      <c r="J45" s="187"/>
      <c r="K45" s="187"/>
    </row>
    <row r="46" spans="1:11" ht="15.75" x14ac:dyDescent="0.2">
      <c r="A46" s="30"/>
      <c r="B46" s="30"/>
      <c r="C46" s="187" t="s">
        <v>35</v>
      </c>
      <c r="D46" s="187"/>
      <c r="E46" s="187"/>
      <c r="F46" s="187"/>
      <c r="G46" s="187" t="s">
        <v>40</v>
      </c>
      <c r="H46" s="187"/>
      <c r="I46" s="187"/>
      <c r="J46" s="187"/>
      <c r="K46" s="187"/>
    </row>
    <row r="47" spans="1:11" x14ac:dyDescent="0.2">
      <c r="C47" s="187" t="s">
        <v>36</v>
      </c>
      <c r="D47" s="187"/>
      <c r="E47" s="187"/>
      <c r="F47" s="187"/>
      <c r="G47" s="188"/>
      <c r="H47" s="188"/>
      <c r="I47" s="188"/>
      <c r="J47" s="188"/>
      <c r="K47" s="188"/>
    </row>
    <row r="48" spans="1:11" x14ac:dyDescent="0.2">
      <c r="D48" s="35"/>
      <c r="E48" s="35"/>
      <c r="F48" s="35"/>
      <c r="G48" s="35"/>
      <c r="H48" s="35"/>
      <c r="I48" s="35"/>
      <c r="J48" s="35"/>
      <c r="K48" s="35"/>
    </row>
    <row r="49" spans="4:17" x14ac:dyDescent="0.2">
      <c r="D49" s="35"/>
      <c r="E49" s="35"/>
      <c r="F49" s="35"/>
      <c r="G49" s="35"/>
      <c r="H49" s="35"/>
      <c r="I49" s="35"/>
      <c r="J49" s="35"/>
      <c r="K49" s="35"/>
    </row>
    <row r="50" spans="4:17" x14ac:dyDescent="0.2">
      <c r="D50" s="35"/>
      <c r="E50" s="35"/>
      <c r="F50" s="35"/>
      <c r="G50" s="35"/>
      <c r="H50" s="35"/>
      <c r="I50" s="35"/>
      <c r="J50" s="35"/>
      <c r="K50" s="35"/>
    </row>
    <row r="51" spans="4:17" x14ac:dyDescent="0.2">
      <c r="D51" s="35"/>
      <c r="E51" s="35"/>
      <c r="F51" s="35"/>
      <c r="G51" s="35"/>
      <c r="H51" s="35"/>
      <c r="I51" s="35"/>
      <c r="J51" s="35"/>
      <c r="K51" s="35"/>
    </row>
    <row r="52" spans="4:17" x14ac:dyDescent="0.2">
      <c r="D52" s="35"/>
      <c r="E52" s="35"/>
      <c r="F52" s="35"/>
      <c r="G52" s="35"/>
      <c r="H52" s="35"/>
      <c r="I52" s="35"/>
      <c r="J52" s="35"/>
      <c r="K52" s="35"/>
    </row>
    <row r="53" spans="4:17" x14ac:dyDescent="0.2">
      <c r="D53" s="35"/>
      <c r="E53" s="35"/>
      <c r="F53" s="35"/>
      <c r="G53" s="35"/>
      <c r="H53" s="35"/>
      <c r="I53" s="35"/>
      <c r="J53" s="35"/>
      <c r="K53" s="35"/>
    </row>
    <row r="54" spans="4:17" x14ac:dyDescent="0.2">
      <c r="D54" s="35"/>
      <c r="E54" s="35"/>
      <c r="F54" s="35"/>
      <c r="G54" s="35"/>
      <c r="H54" s="35"/>
      <c r="I54" s="35"/>
      <c r="J54" s="35"/>
      <c r="K54" s="35"/>
    </row>
    <row r="55" spans="4:17" x14ac:dyDescent="0.2">
      <c r="D55" s="35"/>
      <c r="E55" s="35"/>
      <c r="F55" s="35"/>
      <c r="G55" s="35"/>
      <c r="H55" s="35"/>
      <c r="I55" s="35"/>
      <c r="J55" s="35"/>
      <c r="K55" s="35"/>
    </row>
    <row r="56" spans="4:17" x14ac:dyDescent="0.2">
      <c r="D56" s="35"/>
      <c r="E56" s="35"/>
      <c r="F56" s="35"/>
      <c r="G56" s="35"/>
      <c r="H56" s="35"/>
      <c r="I56" s="35"/>
      <c r="J56" s="35"/>
      <c r="K56" s="35"/>
    </row>
    <row r="57" spans="4:17" x14ac:dyDescent="0.2">
      <c r="D57" s="35"/>
      <c r="E57" s="35"/>
      <c r="F57" s="35"/>
      <c r="G57" s="35"/>
      <c r="H57" s="35"/>
      <c r="I57" s="35"/>
      <c r="J57" s="35"/>
      <c r="K57" s="35"/>
    </row>
    <row r="58" spans="4:17" x14ac:dyDescent="0.2">
      <c r="D58" s="35"/>
      <c r="E58" s="35"/>
      <c r="F58" s="35"/>
      <c r="G58" s="35"/>
      <c r="H58" s="35"/>
      <c r="I58" s="35"/>
      <c r="J58" s="35"/>
      <c r="K58" s="35"/>
    </row>
    <row r="59" spans="4:17" x14ac:dyDescent="0.2">
      <c r="D59" s="35"/>
      <c r="E59" s="35"/>
      <c r="F59" s="35"/>
      <c r="G59" s="35"/>
      <c r="H59" s="35"/>
      <c r="I59" s="35"/>
      <c r="J59" s="35"/>
      <c r="K59" s="35"/>
    </row>
    <row r="60" spans="4:17" ht="22.5" x14ac:dyDescent="0.2">
      <c r="D60" s="35"/>
      <c r="E60" s="35"/>
      <c r="F60" s="35"/>
      <c r="G60" s="35"/>
      <c r="H60" s="35"/>
      <c r="I60" s="35"/>
      <c r="J60" s="35"/>
      <c r="K60" s="35"/>
      <c r="M60" s="36" t="s">
        <v>77</v>
      </c>
      <c r="N60" s="36" t="s">
        <v>57</v>
      </c>
      <c r="O60" s="37" t="s">
        <v>99</v>
      </c>
      <c r="P60" s="37" t="s">
        <v>59</v>
      </c>
      <c r="Q60" s="37" t="s">
        <v>78</v>
      </c>
    </row>
    <row r="61" spans="4:17" ht="15.75" x14ac:dyDescent="0.25">
      <c r="D61" s="35"/>
      <c r="E61" s="35"/>
      <c r="F61" s="35"/>
      <c r="G61" s="35"/>
      <c r="H61" s="35"/>
      <c r="I61" s="35"/>
      <c r="J61" s="35"/>
      <c r="K61" s="35"/>
      <c r="M61" s="38" t="s">
        <v>10</v>
      </c>
      <c r="N61" s="39">
        <v>170000</v>
      </c>
      <c r="O61" s="45">
        <v>1.2E-2</v>
      </c>
      <c r="P61" s="40">
        <v>0.2</v>
      </c>
      <c r="Q61" s="41">
        <v>440</v>
      </c>
    </row>
    <row r="62" spans="4:17" ht="15" x14ac:dyDescent="0.2">
      <c r="D62" s="35"/>
      <c r="E62" s="35"/>
      <c r="F62" s="35"/>
      <c r="G62" s="35"/>
      <c r="H62" s="35"/>
      <c r="I62" s="35"/>
      <c r="J62" s="35"/>
      <c r="K62" s="35"/>
      <c r="M62" s="42" t="s">
        <v>79</v>
      </c>
      <c r="N62" s="39">
        <v>1996000</v>
      </c>
      <c r="O62" s="45">
        <v>2.1999999999999999E-2</v>
      </c>
      <c r="P62" s="40">
        <v>0.4</v>
      </c>
      <c r="Q62" s="41">
        <v>1320</v>
      </c>
    </row>
    <row r="63" spans="4:17" ht="15" x14ac:dyDescent="0.2">
      <c r="D63" s="35"/>
      <c r="E63" s="35"/>
      <c r="F63" s="35"/>
      <c r="G63" s="35"/>
      <c r="H63" s="35"/>
      <c r="I63" s="35"/>
      <c r="J63" s="35"/>
      <c r="K63" s="35"/>
      <c r="M63" s="43" t="s">
        <v>11</v>
      </c>
      <c r="N63" s="39">
        <v>340000</v>
      </c>
      <c r="O63" s="45">
        <v>1.4E-2</v>
      </c>
      <c r="P63" s="40">
        <v>0.2</v>
      </c>
      <c r="Q63" s="41">
        <v>440</v>
      </c>
    </row>
    <row r="64" spans="4:17" ht="15" x14ac:dyDescent="0.2">
      <c r="D64" s="35"/>
      <c r="E64" s="35"/>
      <c r="F64" s="35"/>
      <c r="G64" s="35"/>
      <c r="H64" s="35"/>
      <c r="I64" s="35"/>
      <c r="J64" s="35"/>
      <c r="K64" s="35"/>
      <c r="M64" s="43" t="s">
        <v>80</v>
      </c>
      <c r="N64" s="39">
        <v>357000</v>
      </c>
      <c r="O64" s="45">
        <v>5.0000000000000001E-3</v>
      </c>
      <c r="P64" s="40">
        <v>0.2</v>
      </c>
      <c r="Q64" s="41">
        <v>440</v>
      </c>
    </row>
    <row r="65" spans="4:17" ht="15" x14ac:dyDescent="0.2">
      <c r="D65" s="35"/>
      <c r="E65" s="35"/>
      <c r="F65" s="35"/>
      <c r="G65" s="35"/>
      <c r="H65" s="35"/>
      <c r="I65" s="35"/>
      <c r="J65" s="35"/>
      <c r="K65" s="35"/>
      <c r="M65" s="43" t="s">
        <v>12</v>
      </c>
      <c r="N65" s="39">
        <v>360000</v>
      </c>
      <c r="O65" s="45">
        <v>1.7999999999999999E-2</v>
      </c>
      <c r="P65" s="40">
        <v>0.2</v>
      </c>
      <c r="Q65" s="41">
        <v>440</v>
      </c>
    </row>
    <row r="66" spans="4:17" ht="15" x14ac:dyDescent="0.2">
      <c r="D66" s="35"/>
      <c r="E66" s="35"/>
      <c r="F66" s="35"/>
      <c r="G66" s="35"/>
      <c r="H66" s="35"/>
      <c r="I66" s="35"/>
      <c r="J66" s="35"/>
      <c r="K66" s="35"/>
      <c r="M66" s="43" t="s">
        <v>13</v>
      </c>
      <c r="N66" s="39">
        <v>353000</v>
      </c>
      <c r="O66" s="45">
        <v>1.6E-2</v>
      </c>
      <c r="P66" s="40">
        <v>0.2</v>
      </c>
      <c r="Q66" s="41">
        <v>440</v>
      </c>
    </row>
    <row r="67" spans="4:17" ht="15" x14ac:dyDescent="0.2">
      <c r="D67" s="35"/>
      <c r="E67" s="35"/>
      <c r="F67" s="35"/>
      <c r="G67" s="35"/>
      <c r="H67" s="35"/>
      <c r="I67" s="35"/>
      <c r="J67" s="35"/>
      <c r="K67" s="35"/>
      <c r="M67" s="43" t="s">
        <v>24</v>
      </c>
      <c r="N67" s="39">
        <v>205000</v>
      </c>
      <c r="O67" s="45">
        <v>1.2E-2</v>
      </c>
      <c r="P67" s="40">
        <v>0.2</v>
      </c>
      <c r="Q67" s="41">
        <v>440</v>
      </c>
    </row>
    <row r="68" spans="4:17" ht="15" x14ac:dyDescent="0.2">
      <c r="D68" s="35"/>
      <c r="E68" s="35"/>
      <c r="F68" s="35"/>
      <c r="G68" s="35"/>
      <c r="H68" s="35"/>
      <c r="I68" s="35"/>
      <c r="J68" s="35"/>
      <c r="K68" s="35"/>
      <c r="M68" s="43" t="s">
        <v>81</v>
      </c>
      <c r="N68" s="39">
        <v>500000</v>
      </c>
      <c r="O68" s="45">
        <v>1.4999999999999999E-2</v>
      </c>
      <c r="P68" s="40">
        <v>0.2</v>
      </c>
      <c r="Q68" s="41">
        <v>440</v>
      </c>
    </row>
    <row r="69" spans="4:17" ht="15" x14ac:dyDescent="0.2">
      <c r="D69" s="35"/>
      <c r="E69" s="35"/>
      <c r="F69" s="35"/>
      <c r="G69" s="35"/>
      <c r="H69" s="35"/>
      <c r="I69" s="35"/>
      <c r="J69" s="35"/>
      <c r="K69" s="35"/>
      <c r="M69" s="42" t="s">
        <v>82</v>
      </c>
      <c r="N69" s="39">
        <v>13000000</v>
      </c>
      <c r="O69" s="45">
        <v>4.1000000000000002E-2</v>
      </c>
      <c r="P69" s="40">
        <v>4</v>
      </c>
      <c r="Q69" s="41">
        <v>1320</v>
      </c>
    </row>
    <row r="70" spans="4:17" ht="15" x14ac:dyDescent="0.2">
      <c r="D70" s="35"/>
      <c r="E70" s="35"/>
      <c r="F70" s="35"/>
      <c r="G70" s="35"/>
      <c r="H70" s="35"/>
      <c r="I70" s="35"/>
      <c r="J70" s="35"/>
      <c r="K70" s="35"/>
      <c r="M70" s="43" t="s">
        <v>83</v>
      </c>
      <c r="N70" s="39">
        <v>5590000</v>
      </c>
      <c r="O70" s="45">
        <v>5.5E-2</v>
      </c>
      <c r="P70" s="40">
        <v>2</v>
      </c>
      <c r="Q70" s="41">
        <v>1320</v>
      </c>
    </row>
    <row r="71" spans="4:17" ht="15" x14ac:dyDescent="0.2">
      <c r="D71" s="35"/>
      <c r="E71" s="35"/>
      <c r="F71" s="35"/>
      <c r="G71" s="35"/>
      <c r="H71" s="35"/>
      <c r="I71" s="35"/>
      <c r="J71" s="35"/>
      <c r="K71" s="35"/>
      <c r="M71" s="43" t="s">
        <v>84</v>
      </c>
      <c r="N71" s="39">
        <v>1630000</v>
      </c>
      <c r="O71" s="45">
        <v>2.4E-2</v>
      </c>
      <c r="P71" s="40">
        <v>1</v>
      </c>
      <c r="Q71" s="41">
        <v>1320</v>
      </c>
    </row>
    <row r="72" spans="4:17" ht="15" x14ac:dyDescent="0.2">
      <c r="D72" s="35"/>
      <c r="E72" s="35"/>
      <c r="F72" s="35"/>
      <c r="G72" s="35"/>
      <c r="H72" s="35"/>
      <c r="I72" s="35"/>
      <c r="J72" s="35"/>
      <c r="K72" s="35"/>
      <c r="M72" s="43" t="s">
        <v>85</v>
      </c>
      <c r="N72" s="39">
        <v>1550000</v>
      </c>
      <c r="O72" s="45">
        <v>3.4000000000000002E-2</v>
      </c>
      <c r="P72" s="40">
        <v>1</v>
      </c>
      <c r="Q72" s="41">
        <v>1320</v>
      </c>
    </row>
    <row r="73" spans="4:17" ht="15" x14ac:dyDescent="0.2">
      <c r="D73" s="35"/>
      <c r="E73" s="35"/>
      <c r="F73" s="35"/>
      <c r="G73" s="35"/>
      <c r="H73" s="35"/>
      <c r="I73" s="35"/>
      <c r="J73" s="35"/>
      <c r="K73" s="35"/>
      <c r="M73" s="43" t="s">
        <v>86</v>
      </c>
      <c r="N73" s="39">
        <v>1300000</v>
      </c>
      <c r="O73" s="45">
        <v>2.1999999999999999E-2</v>
      </c>
      <c r="P73" s="40">
        <v>1</v>
      </c>
      <c r="Q73" s="41">
        <v>1320</v>
      </c>
    </row>
    <row r="74" spans="4:17" ht="15" x14ac:dyDescent="0.2">
      <c r="D74" s="35"/>
      <c r="E74" s="35"/>
      <c r="F74" s="35"/>
      <c r="G74" s="35"/>
      <c r="H74" s="35"/>
      <c r="I74" s="35"/>
      <c r="J74" s="35"/>
      <c r="K74" s="35"/>
      <c r="M74" s="43" t="s">
        <v>87</v>
      </c>
      <c r="N74" s="39">
        <v>1100000</v>
      </c>
      <c r="O74" s="45">
        <v>4.2000000000000003E-2</v>
      </c>
      <c r="P74" s="40">
        <v>1</v>
      </c>
      <c r="Q74" s="41">
        <v>1320</v>
      </c>
    </row>
    <row r="75" spans="4:17" ht="15" x14ac:dyDescent="0.2">
      <c r="D75" s="35"/>
      <c r="E75" s="35"/>
      <c r="F75" s="35"/>
      <c r="G75" s="35"/>
      <c r="H75" s="35"/>
      <c r="I75" s="35"/>
      <c r="J75" s="35"/>
      <c r="K75" s="35"/>
      <c r="M75" s="43" t="s">
        <v>88</v>
      </c>
      <c r="N75" s="39">
        <v>1220000</v>
      </c>
      <c r="O75" s="45">
        <v>4.2999999999999997E-2</v>
      </c>
      <c r="P75" s="40">
        <v>1</v>
      </c>
      <c r="Q75" s="41">
        <v>1320</v>
      </c>
    </row>
    <row r="76" spans="4:17" ht="15" x14ac:dyDescent="0.2">
      <c r="D76" s="35"/>
      <c r="E76" s="35"/>
      <c r="F76" s="35"/>
      <c r="G76" s="35"/>
      <c r="H76" s="35"/>
      <c r="I76" s="35"/>
      <c r="J76" s="35"/>
      <c r="K76" s="35"/>
      <c r="M76" s="43" t="s">
        <v>89</v>
      </c>
      <c r="N76" s="39">
        <v>1190000</v>
      </c>
      <c r="O76" s="45">
        <v>2.1999999999999999E-2</v>
      </c>
      <c r="P76" s="40">
        <v>1</v>
      </c>
      <c r="Q76" s="41">
        <v>1320</v>
      </c>
    </row>
    <row r="77" spans="4:17" ht="15" x14ac:dyDescent="0.2">
      <c r="D77" s="35"/>
      <c r="E77" s="35"/>
      <c r="F77" s="35"/>
      <c r="G77" s="35"/>
      <c r="H77" s="35"/>
      <c r="I77" s="35"/>
      <c r="J77" s="35"/>
      <c r="K77" s="35"/>
      <c r="M77" s="43" t="s">
        <v>90</v>
      </c>
      <c r="N77" s="39">
        <v>1190000</v>
      </c>
      <c r="O77" s="45">
        <v>1.4999999999999999E-2</v>
      </c>
      <c r="P77" s="40">
        <v>1</v>
      </c>
      <c r="Q77" s="41">
        <v>1320</v>
      </c>
    </row>
    <row r="78" spans="4:17" ht="15" x14ac:dyDescent="0.2">
      <c r="D78" s="35"/>
      <c r="E78" s="35"/>
      <c r="F78" s="35"/>
      <c r="G78" s="35"/>
      <c r="H78" s="35"/>
      <c r="I78" s="35"/>
      <c r="J78" s="35"/>
      <c r="K78" s="35"/>
      <c r="M78" s="43" t="s">
        <v>91</v>
      </c>
      <c r="N78" s="39">
        <v>1170000</v>
      </c>
      <c r="O78" s="45">
        <v>2.8000000000000001E-2</v>
      </c>
      <c r="P78" s="40">
        <v>1</v>
      </c>
      <c r="Q78" s="41">
        <v>1320</v>
      </c>
    </row>
    <row r="79" spans="4:17" ht="15" x14ac:dyDescent="0.2">
      <c r="D79" s="35"/>
      <c r="E79" s="35"/>
      <c r="F79" s="35"/>
      <c r="G79" s="35"/>
      <c r="H79" s="35"/>
      <c r="I79" s="35"/>
      <c r="J79" s="35"/>
      <c r="K79" s="35"/>
      <c r="M79" s="43" t="s">
        <v>92</v>
      </c>
      <c r="N79" s="39">
        <v>1145000</v>
      </c>
      <c r="O79" s="45">
        <v>2.1000000000000001E-2</v>
      </c>
      <c r="P79" s="40">
        <v>1</v>
      </c>
      <c r="Q79" s="41">
        <v>1320</v>
      </c>
    </row>
    <row r="80" spans="4:17" ht="15" x14ac:dyDescent="0.2">
      <c r="D80" s="35"/>
      <c r="E80" s="35"/>
      <c r="F80" s="35"/>
      <c r="G80" s="35"/>
      <c r="H80" s="35"/>
      <c r="I80" s="35"/>
      <c r="J80" s="35"/>
      <c r="K80" s="35"/>
      <c r="M80" s="43" t="s">
        <v>93</v>
      </c>
      <c r="N80" s="39">
        <v>1140000</v>
      </c>
      <c r="O80" s="45">
        <v>3.2000000000000001E-2</v>
      </c>
      <c r="P80" s="40">
        <v>1</v>
      </c>
      <c r="Q80" s="41">
        <v>1320</v>
      </c>
    </row>
    <row r="81" spans="4:17" ht="15" x14ac:dyDescent="0.2">
      <c r="D81" s="35"/>
      <c r="E81" s="35"/>
      <c r="F81" s="35"/>
      <c r="G81" s="35"/>
      <c r="H81" s="35"/>
      <c r="I81" s="35"/>
      <c r="J81" s="35"/>
      <c r="K81" s="35"/>
      <c r="M81" s="43" t="s">
        <v>94</v>
      </c>
      <c r="N81" s="39">
        <v>1120000</v>
      </c>
      <c r="O81" s="45">
        <v>0.02</v>
      </c>
      <c r="P81" s="40">
        <v>1</v>
      </c>
      <c r="Q81" s="41">
        <v>1320</v>
      </c>
    </row>
    <row r="82" spans="4:17" ht="15" x14ac:dyDescent="0.2">
      <c r="D82" s="35"/>
      <c r="E82" s="35"/>
      <c r="F82" s="35"/>
      <c r="G82" s="35"/>
      <c r="H82" s="35"/>
      <c r="I82" s="35"/>
      <c r="J82" s="35"/>
      <c r="K82" s="35"/>
      <c r="M82" s="43" t="s">
        <v>95</v>
      </c>
      <c r="N82" s="39">
        <v>1060000</v>
      </c>
      <c r="O82" s="45">
        <v>3.3000000000000002E-2</v>
      </c>
      <c r="P82" s="40">
        <v>1</v>
      </c>
      <c r="Q82" s="41">
        <v>1320</v>
      </c>
    </row>
    <row r="83" spans="4:17" ht="15" x14ac:dyDescent="0.2">
      <c r="D83" s="35"/>
      <c r="E83" s="35"/>
      <c r="F83" s="35"/>
      <c r="G83" s="35"/>
      <c r="H83" s="35"/>
      <c r="I83" s="35"/>
      <c r="J83" s="35"/>
      <c r="K83" s="35"/>
      <c r="M83" s="43" t="s">
        <v>96</v>
      </c>
      <c r="N83" s="39">
        <v>1030000</v>
      </c>
      <c r="O83" s="45">
        <v>2.7E-2</v>
      </c>
      <c r="P83" s="40">
        <v>1</v>
      </c>
      <c r="Q83" s="41">
        <v>1320</v>
      </c>
    </row>
    <row r="84" spans="4:17" ht="15" x14ac:dyDescent="0.2">
      <c r="D84" s="35"/>
      <c r="E84" s="35"/>
      <c r="F84" s="35"/>
      <c r="G84" s="35"/>
      <c r="H84" s="35"/>
      <c r="I84" s="35"/>
      <c r="J84" s="35"/>
      <c r="K84" s="35"/>
      <c r="M84" s="43" t="s">
        <v>97</v>
      </c>
      <c r="N84" s="39">
        <v>1050000</v>
      </c>
      <c r="O84" s="45">
        <v>2.5000000000000001E-2</v>
      </c>
      <c r="P84" s="40">
        <v>1</v>
      </c>
      <c r="Q84" s="41">
        <v>1320</v>
      </c>
    </row>
    <row r="85" spans="4:17" x14ac:dyDescent="0.2">
      <c r="D85" s="35"/>
      <c r="E85" s="35"/>
      <c r="F85" s="35"/>
      <c r="G85" s="35"/>
      <c r="H85" s="35"/>
      <c r="I85" s="35"/>
      <c r="J85" s="35"/>
      <c r="K85" s="35"/>
    </row>
    <row r="86" spans="4:17" x14ac:dyDescent="0.2">
      <c r="D86" s="35"/>
      <c r="E86" s="35"/>
      <c r="F86" s="35"/>
      <c r="G86" s="35"/>
      <c r="H86" s="35"/>
      <c r="I86" s="35"/>
      <c r="J86" s="35"/>
      <c r="K86" s="35"/>
    </row>
    <row r="87" spans="4:17" x14ac:dyDescent="0.2">
      <c r="D87" s="35"/>
      <c r="E87" s="35"/>
      <c r="F87" s="35"/>
      <c r="G87" s="35"/>
      <c r="H87" s="35"/>
      <c r="I87" s="35"/>
      <c r="J87" s="35"/>
      <c r="K87" s="35"/>
    </row>
    <row r="88" spans="4:17" x14ac:dyDescent="0.2">
      <c r="D88" s="35"/>
      <c r="E88" s="35"/>
      <c r="F88" s="35"/>
      <c r="G88" s="35"/>
      <c r="H88" s="35"/>
      <c r="I88" s="35"/>
      <c r="J88" s="35"/>
      <c r="K88" s="35"/>
    </row>
    <row r="89" spans="4:17" x14ac:dyDescent="0.2">
      <c r="D89" s="35"/>
      <c r="E89" s="35"/>
      <c r="F89" s="35"/>
      <c r="G89" s="35"/>
      <c r="H89" s="35"/>
      <c r="I89" s="35"/>
      <c r="J89" s="35"/>
      <c r="K89" s="35"/>
    </row>
    <row r="90" spans="4:17" x14ac:dyDescent="0.2">
      <c r="D90" s="35"/>
      <c r="E90" s="35"/>
      <c r="F90" s="35"/>
      <c r="G90" s="35"/>
      <c r="H90" s="35"/>
      <c r="I90" s="35"/>
      <c r="J90" s="35"/>
      <c r="K90" s="35"/>
    </row>
    <row r="91" spans="4:17" x14ac:dyDescent="0.2">
      <c r="D91" s="35"/>
      <c r="E91" s="35"/>
      <c r="F91" s="35"/>
      <c r="G91" s="35"/>
      <c r="H91" s="35"/>
      <c r="I91" s="35"/>
      <c r="J91" s="35"/>
      <c r="K91" s="35"/>
    </row>
    <row r="92" spans="4:17" x14ac:dyDescent="0.2">
      <c r="D92" s="35"/>
      <c r="E92" s="35"/>
      <c r="F92" s="35"/>
      <c r="G92" s="35"/>
      <c r="H92" s="35"/>
      <c r="I92" s="35"/>
      <c r="J92" s="35"/>
      <c r="K92" s="35"/>
    </row>
    <row r="93" spans="4:17" x14ac:dyDescent="0.2">
      <c r="D93" s="35"/>
      <c r="E93" s="35"/>
      <c r="F93" s="35"/>
      <c r="G93" s="35"/>
      <c r="H93" s="35"/>
      <c r="I93" s="35"/>
      <c r="J93" s="35"/>
      <c r="K93" s="35"/>
    </row>
    <row r="94" spans="4:17" x14ac:dyDescent="0.2">
      <c r="D94" s="35"/>
      <c r="E94" s="35"/>
      <c r="F94" s="35"/>
      <c r="G94" s="35"/>
      <c r="H94" s="35"/>
      <c r="I94" s="35"/>
      <c r="J94" s="35"/>
      <c r="K94" s="35"/>
    </row>
    <row r="95" spans="4:17" x14ac:dyDescent="0.2">
      <c r="D95" s="35"/>
      <c r="E95" s="35"/>
      <c r="F95" s="35"/>
      <c r="G95" s="35"/>
      <c r="H95" s="35"/>
      <c r="I95" s="35"/>
      <c r="J95" s="35"/>
      <c r="K95" s="35"/>
    </row>
    <row r="96" spans="4:17" x14ac:dyDescent="0.2">
      <c r="D96" s="35"/>
      <c r="E96" s="35"/>
      <c r="F96" s="35"/>
      <c r="G96" s="35"/>
      <c r="H96" s="35"/>
      <c r="I96" s="35"/>
      <c r="J96" s="35"/>
      <c r="K96" s="35"/>
    </row>
    <row r="97" spans="4:11" ht="15.75" customHeight="1" x14ac:dyDescent="0.2">
      <c r="D97" s="35"/>
      <c r="E97" s="35"/>
      <c r="F97" s="35"/>
      <c r="G97" s="35"/>
      <c r="H97" s="35"/>
      <c r="I97" s="35"/>
      <c r="J97" s="35"/>
      <c r="K97" s="35"/>
    </row>
    <row r="98" spans="4:11" ht="15.75" customHeight="1" x14ac:dyDescent="0.2">
      <c r="D98" s="35"/>
      <c r="E98" s="35"/>
      <c r="F98" s="35"/>
      <c r="G98" s="35"/>
      <c r="H98" s="35"/>
      <c r="I98" s="35"/>
      <c r="J98" s="35"/>
      <c r="K98" s="35"/>
    </row>
    <row r="99" spans="4:11" ht="45.75" customHeight="1" x14ac:dyDescent="0.2">
      <c r="I99" s="35"/>
      <c r="J99" s="35"/>
      <c r="K99" s="35"/>
    </row>
    <row r="100" spans="4:11" ht="15" customHeight="1" x14ac:dyDescent="0.2">
      <c r="I100" s="35"/>
      <c r="J100" s="35"/>
      <c r="K100" s="35"/>
    </row>
    <row r="101" spans="4:11" ht="15" customHeight="1" x14ac:dyDescent="0.2">
      <c r="I101" s="35"/>
      <c r="J101" s="35"/>
      <c r="K101" s="35"/>
    </row>
    <row r="102" spans="4:11" ht="15" customHeight="1" x14ac:dyDescent="0.2">
      <c r="I102" s="35"/>
      <c r="J102" s="35"/>
      <c r="K102" s="35"/>
    </row>
    <row r="103" spans="4:11" ht="15" customHeight="1" x14ac:dyDescent="0.2">
      <c r="I103" s="35"/>
      <c r="J103" s="35"/>
      <c r="K103" s="35"/>
    </row>
    <row r="104" spans="4:11" ht="15" customHeight="1" x14ac:dyDescent="0.2">
      <c r="I104" s="35"/>
      <c r="J104" s="35"/>
      <c r="K104" s="35"/>
    </row>
    <row r="105" spans="4:11" ht="15" customHeight="1" x14ac:dyDescent="0.2">
      <c r="I105" s="35"/>
      <c r="J105" s="35"/>
      <c r="K105" s="35"/>
    </row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/>
    <row r="116" spans="9:11" ht="15" customHeight="1" x14ac:dyDescent="0.2">
      <c r="J116" s="44"/>
      <c r="K116" s="44"/>
    </row>
    <row r="117" spans="9:11" ht="15" customHeight="1" x14ac:dyDescent="0.2">
      <c r="J117" s="44"/>
      <c r="K117" s="44"/>
    </row>
    <row r="118" spans="9:11" ht="15" customHeight="1" x14ac:dyDescent="0.2">
      <c r="J118" s="44"/>
      <c r="K118" s="44"/>
    </row>
    <row r="119" spans="9:11" ht="15" customHeight="1" x14ac:dyDescent="0.2"/>
    <row r="120" spans="9:11" ht="15" customHeight="1" x14ac:dyDescent="0.2"/>
    <row r="121" spans="9:11" ht="15" customHeight="1" x14ac:dyDescent="0.2">
      <c r="I121" s="33"/>
      <c r="J121" s="33"/>
      <c r="K121" s="33"/>
    </row>
  </sheetData>
  <mergeCells count="114">
    <mergeCell ref="A11:B11"/>
    <mergeCell ref="A12:K12"/>
    <mergeCell ref="A13:B13"/>
    <mergeCell ref="E13:G13"/>
    <mergeCell ref="H13:I13"/>
    <mergeCell ref="J13:K13"/>
    <mergeCell ref="A16:B16"/>
    <mergeCell ref="E16:G16"/>
    <mergeCell ref="H16:I16"/>
    <mergeCell ref="J16:K16"/>
    <mergeCell ref="A17:B17"/>
    <mergeCell ref="E17:G17"/>
    <mergeCell ref="H17:I17"/>
    <mergeCell ref="J17:K17"/>
    <mergeCell ref="A14:B14"/>
    <mergeCell ref="E14:G14"/>
    <mergeCell ref="H14:I14"/>
    <mergeCell ref="J14:K14"/>
    <mergeCell ref="A15:B15"/>
    <mergeCell ref="E15:G15"/>
    <mergeCell ref="H15:I15"/>
    <mergeCell ref="J15:K15"/>
    <mergeCell ref="A20:B20"/>
    <mergeCell ref="E20:G20"/>
    <mergeCell ref="H20:I20"/>
    <mergeCell ref="J20:K20"/>
    <mergeCell ref="A21:B21"/>
    <mergeCell ref="E21:G21"/>
    <mergeCell ref="H21:I21"/>
    <mergeCell ref="J21:K21"/>
    <mergeCell ref="A18:B18"/>
    <mergeCell ref="E18:G18"/>
    <mergeCell ref="H18:I18"/>
    <mergeCell ref="J18:K18"/>
    <mergeCell ref="A19:B19"/>
    <mergeCell ref="E19:G19"/>
    <mergeCell ref="H19:I19"/>
    <mergeCell ref="J19:K19"/>
    <mergeCell ref="A24:C24"/>
    <mergeCell ref="D24:G24"/>
    <mergeCell ref="H24:I24"/>
    <mergeCell ref="A25:B25"/>
    <mergeCell ref="D25:G25"/>
    <mergeCell ref="H25:K25"/>
    <mergeCell ref="A22:B22"/>
    <mergeCell ref="E22:G22"/>
    <mergeCell ref="H22:K22"/>
    <mergeCell ref="A23:B23"/>
    <mergeCell ref="E23:G23"/>
    <mergeCell ref="H23:I23"/>
    <mergeCell ref="A28:B28"/>
    <mergeCell ref="D28:G28"/>
    <mergeCell ref="H28:K28"/>
    <mergeCell ref="D29:F29"/>
    <mergeCell ref="G29:H29"/>
    <mergeCell ref="I29:K29"/>
    <mergeCell ref="A26:B26"/>
    <mergeCell ref="D26:G26"/>
    <mergeCell ref="H26:K26"/>
    <mergeCell ref="A27:B27"/>
    <mergeCell ref="D27:G27"/>
    <mergeCell ref="H27:K27"/>
    <mergeCell ref="A32:B32"/>
    <mergeCell ref="D32:F32"/>
    <mergeCell ref="G32:H32"/>
    <mergeCell ref="I32:K32"/>
    <mergeCell ref="A33:B33"/>
    <mergeCell ref="D33:F33"/>
    <mergeCell ref="G33:H33"/>
    <mergeCell ref="I33:K33"/>
    <mergeCell ref="A30:B30"/>
    <mergeCell ref="D30:F30"/>
    <mergeCell ref="I30:K30"/>
    <mergeCell ref="A31:B31"/>
    <mergeCell ref="D31:F31"/>
    <mergeCell ref="G31:H31"/>
    <mergeCell ref="I31:K31"/>
    <mergeCell ref="A36:B36"/>
    <mergeCell ref="D36:F36"/>
    <mergeCell ref="G36:H36"/>
    <mergeCell ref="I36:K36"/>
    <mergeCell ref="A37:B37"/>
    <mergeCell ref="D37:F37"/>
    <mergeCell ref="I37:K37"/>
    <mergeCell ref="A34:B34"/>
    <mergeCell ref="E34:F34"/>
    <mergeCell ref="J34:K34"/>
    <mergeCell ref="A35:B35"/>
    <mergeCell ref="D35:F35"/>
    <mergeCell ref="I35:K35"/>
    <mergeCell ref="A38:B38"/>
    <mergeCell ref="A39:B39"/>
    <mergeCell ref="D39:F39"/>
    <mergeCell ref="G39:H39"/>
    <mergeCell ref="I39:K39"/>
    <mergeCell ref="A40:B40"/>
    <mergeCell ref="C40:C41"/>
    <mergeCell ref="D40:F40"/>
    <mergeCell ref="I40:K40"/>
    <mergeCell ref="A41:B41"/>
    <mergeCell ref="C47:F47"/>
    <mergeCell ref="G47:K47"/>
    <mergeCell ref="C44:F44"/>
    <mergeCell ref="G44:K44"/>
    <mergeCell ref="C45:F45"/>
    <mergeCell ref="G45:K45"/>
    <mergeCell ref="C46:F46"/>
    <mergeCell ref="G46:K46"/>
    <mergeCell ref="D41:F41"/>
    <mergeCell ref="G41:H41"/>
    <mergeCell ref="I41:K41"/>
    <mergeCell ref="A42:K42"/>
    <mergeCell ref="C43:F43"/>
    <mergeCell ref="G43:K43"/>
  </mergeCells>
  <dataValidations count="2">
    <dataValidation type="list" allowBlank="1" showInputMessage="1" showErrorMessage="1" sqref="A14:A19" xr:uid="{66DF76D0-AD28-4C26-822A-3D21F677517F}">
      <formula1>$M$61:$M$84</formula1>
    </dataValidation>
    <dataValidation allowBlank="1" showInputMessage="1" showErrorMessage="1" promptTitle="Введите свой город" sqref="D22 D14:D19 C27 A27" xr:uid="{293E7940-CCB9-4F2C-AAF4-48A67A3F1C96}"/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1DE2-448D-447A-88C8-B88BB3735E51}">
  <dimension ref="A10:Q120"/>
  <sheetViews>
    <sheetView topLeftCell="A20" workbookViewId="0">
      <selection activeCell="C43" sqref="C43:K47"/>
    </sheetView>
  </sheetViews>
  <sheetFormatPr defaultRowHeight="14.25" x14ac:dyDescent="0.2"/>
  <cols>
    <col min="1" max="1" width="18.42578125" style="26" customWidth="1"/>
    <col min="2" max="2" width="2.140625" style="26" customWidth="1"/>
    <col min="3" max="3" width="23.140625" style="26" customWidth="1"/>
    <col min="4" max="4" width="13" style="26" customWidth="1"/>
    <col min="5" max="5" width="3.85546875" style="26" customWidth="1"/>
    <col min="6" max="6" width="9.140625" style="26" customWidth="1"/>
    <col min="7" max="7" width="2.85546875" style="26" customWidth="1"/>
    <col min="8" max="8" width="4.140625" style="26" customWidth="1"/>
    <col min="9" max="9" width="9.28515625" style="26" customWidth="1"/>
    <col min="10" max="10" width="3.140625" style="26" customWidth="1"/>
    <col min="11" max="11" width="12.140625" style="26" customWidth="1"/>
    <col min="12" max="12" width="9.140625" style="26"/>
    <col min="13" max="13" width="23.28515625" style="26" customWidth="1"/>
    <col min="14" max="14" width="9.140625" style="26"/>
    <col min="15" max="15" width="12" style="26" customWidth="1"/>
    <col min="16" max="16" width="9.140625" style="26"/>
    <col min="17" max="17" width="12.28515625" style="26" customWidth="1"/>
    <col min="18" max="16384" width="9.140625" style="26"/>
  </cols>
  <sheetData>
    <row r="10" spans="1:11" ht="16.5" customHeight="1" x14ac:dyDescent="0.2"/>
    <row r="11" spans="1:11" ht="13.5" customHeight="1" x14ac:dyDescent="0.2">
      <c r="A11" s="247"/>
      <c r="B11" s="247"/>
    </row>
    <row r="12" spans="1:11" ht="29.25" customHeight="1" x14ac:dyDescent="0.2">
      <c r="A12" s="237" t="s">
        <v>100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1" ht="15" customHeight="1" x14ac:dyDescent="0.2">
      <c r="A13" s="239" t="s">
        <v>56</v>
      </c>
      <c r="B13" s="243"/>
      <c r="C13" s="49" t="s">
        <v>57</v>
      </c>
      <c r="D13" s="50" t="s">
        <v>58</v>
      </c>
      <c r="E13" s="244" t="s">
        <v>101</v>
      </c>
      <c r="F13" s="244"/>
      <c r="G13" s="244"/>
      <c r="H13" s="244" t="s">
        <v>59</v>
      </c>
      <c r="I13" s="244"/>
      <c r="J13" s="244" t="s">
        <v>60</v>
      </c>
      <c r="K13" s="240"/>
    </row>
    <row r="14" spans="1:11" ht="15" customHeight="1" x14ac:dyDescent="0.2">
      <c r="A14" s="245" t="s">
        <v>10</v>
      </c>
      <c r="B14" s="245"/>
      <c r="C14" s="46">
        <f>VLOOKUP(A14,ГОРОДА367[],2,0)</f>
        <v>170000</v>
      </c>
      <c r="D14" s="47">
        <f>VLOOKUP(A14,ГОРОДА367[],3,0)</f>
        <v>1.2E-2</v>
      </c>
      <c r="E14" s="191">
        <v>1</v>
      </c>
      <c r="F14" s="191"/>
      <c r="G14" s="191"/>
      <c r="H14" s="246">
        <f>VLOOKUP(A14,ГОРОДА367[],4,0)</f>
        <v>0.2</v>
      </c>
      <c r="I14" s="246"/>
      <c r="J14" s="192">
        <f t="shared" ref="J14:J19" si="0">C14*D14*E14</f>
        <v>2040</v>
      </c>
      <c r="K14" s="192"/>
    </row>
    <row r="15" spans="1:11" ht="15" customHeight="1" x14ac:dyDescent="0.2">
      <c r="A15" s="93" t="s">
        <v>11</v>
      </c>
      <c r="B15" s="93"/>
      <c r="C15" s="46">
        <f>VLOOKUP(A15,ГОРОДА367[],2,0)</f>
        <v>340000</v>
      </c>
      <c r="D15" s="47">
        <f>VLOOKUP(A15,ГОРОДА367[],3,0)</f>
        <v>1.4E-2</v>
      </c>
      <c r="E15" s="191">
        <v>1</v>
      </c>
      <c r="F15" s="191"/>
      <c r="G15" s="191"/>
      <c r="H15" s="246">
        <f>VLOOKUP(A15,ГОРОДА367[],4,0)</f>
        <v>0.2</v>
      </c>
      <c r="I15" s="246"/>
      <c r="J15" s="192">
        <f t="shared" si="0"/>
        <v>4760</v>
      </c>
      <c r="K15" s="192"/>
    </row>
    <row r="16" spans="1:11" ht="15" customHeight="1" x14ac:dyDescent="0.2">
      <c r="A16" s="93" t="s">
        <v>12</v>
      </c>
      <c r="B16" s="93"/>
      <c r="C16" s="46">
        <f>VLOOKUP(A16,ГОРОДА367[],2,0)</f>
        <v>360000</v>
      </c>
      <c r="D16" s="47">
        <f>VLOOKUP(A16,ГОРОДА367[],3,0)</f>
        <v>1.7999999999999999E-2</v>
      </c>
      <c r="E16" s="191">
        <v>1</v>
      </c>
      <c r="F16" s="191"/>
      <c r="G16" s="191"/>
      <c r="H16" s="246">
        <f>VLOOKUP(A16,ГОРОДА367[],4,0)</f>
        <v>0.2</v>
      </c>
      <c r="I16" s="246"/>
      <c r="J16" s="192">
        <f t="shared" si="0"/>
        <v>6479.9999999999991</v>
      </c>
      <c r="K16" s="192"/>
    </row>
    <row r="17" spans="1:11" ht="15" customHeight="1" x14ac:dyDescent="0.2">
      <c r="A17" s="93" t="s">
        <v>13</v>
      </c>
      <c r="B17" s="93"/>
      <c r="C17" s="46">
        <f>VLOOKUP(A17,ГОРОДА367[],2,0)</f>
        <v>353000</v>
      </c>
      <c r="D17" s="47">
        <f>VLOOKUP(A17,ГОРОДА367[],3,0)</f>
        <v>1.6E-2</v>
      </c>
      <c r="E17" s="191">
        <v>1</v>
      </c>
      <c r="F17" s="191"/>
      <c r="G17" s="191"/>
      <c r="H17" s="246">
        <f>VLOOKUP(A17,ГОРОДА367[],4,0)</f>
        <v>0.2</v>
      </c>
      <c r="I17" s="246"/>
      <c r="J17" s="192">
        <f t="shared" si="0"/>
        <v>5648</v>
      </c>
      <c r="K17" s="192"/>
    </row>
    <row r="18" spans="1:11" ht="15" customHeight="1" x14ac:dyDescent="0.2">
      <c r="A18" s="93" t="s">
        <v>24</v>
      </c>
      <c r="B18" s="93"/>
      <c r="C18" s="46">
        <f>VLOOKUP(A18,ГОРОДА367[],2,0)</f>
        <v>205000</v>
      </c>
      <c r="D18" s="47">
        <f>VLOOKUP(A18,ГОРОДА367[],3,0)</f>
        <v>1.2E-2</v>
      </c>
      <c r="E18" s="191">
        <v>1</v>
      </c>
      <c r="F18" s="191"/>
      <c r="G18" s="191"/>
      <c r="H18" s="246">
        <f>VLOOKUP(A18,ГОРОДА367[],4,0)</f>
        <v>0.2</v>
      </c>
      <c r="I18" s="246"/>
      <c r="J18" s="192">
        <f t="shared" si="0"/>
        <v>2460</v>
      </c>
      <c r="K18" s="192"/>
    </row>
    <row r="19" spans="1:11" ht="15" customHeight="1" x14ac:dyDescent="0.2">
      <c r="A19" s="93" t="s">
        <v>79</v>
      </c>
      <c r="B19" s="93"/>
      <c r="C19" s="46">
        <f>VLOOKUP(A19,ГОРОДА367[],2,0)</f>
        <v>1996000</v>
      </c>
      <c r="D19" s="47">
        <f>VLOOKUP(A19,ГОРОДА367[],3,0)</f>
        <v>2.1999999999999999E-2</v>
      </c>
      <c r="E19" s="191">
        <v>0</v>
      </c>
      <c r="F19" s="191"/>
      <c r="G19" s="191"/>
      <c r="H19" s="246">
        <f>VLOOKUP(A19,ГОРОДА367[],4,0)</f>
        <v>0.4</v>
      </c>
      <c r="I19" s="246"/>
      <c r="J19" s="192">
        <f t="shared" si="0"/>
        <v>0</v>
      </c>
      <c r="K19" s="192"/>
    </row>
    <row r="20" spans="1:11" ht="15" customHeight="1" x14ac:dyDescent="0.2">
      <c r="A20" s="248"/>
      <c r="B20" s="248"/>
      <c r="C20" s="27"/>
      <c r="D20" s="27"/>
      <c r="E20" s="254">
        <f>SUM(E14:G19)</f>
        <v>5</v>
      </c>
      <c r="F20" s="253"/>
      <c r="G20" s="253"/>
      <c r="H20" s="255">
        <f>(H14*J14+H15*J15+H16*J16+H17*J17+H18*J18+H19*J19)/J20</f>
        <v>0.2</v>
      </c>
      <c r="I20" s="255"/>
      <c r="J20" s="254">
        <f>SUM(J14:K19)</f>
        <v>21388</v>
      </c>
      <c r="K20" s="253"/>
    </row>
    <row r="21" spans="1:11" ht="15" customHeight="1" x14ac:dyDescent="0.2">
      <c r="A21" s="251" t="s">
        <v>61</v>
      </c>
      <c r="B21" s="251"/>
      <c r="C21" s="28" t="s">
        <v>62</v>
      </c>
      <c r="D21" s="51" t="s">
        <v>63</v>
      </c>
      <c r="E21" s="225" t="s">
        <v>64</v>
      </c>
      <c r="F21" s="226"/>
      <c r="G21" s="252"/>
      <c r="H21" s="228" t="s">
        <v>102</v>
      </c>
      <c r="I21" s="228"/>
      <c r="J21" s="228"/>
      <c r="K21" s="228"/>
    </row>
    <row r="22" spans="1:11" ht="15" customHeight="1" x14ac:dyDescent="0.2">
      <c r="A22" s="248"/>
      <c r="B22" s="248"/>
      <c r="C22" s="52">
        <v>50</v>
      </c>
      <c r="D22" s="53">
        <v>0.3</v>
      </c>
      <c r="E22" s="249">
        <v>0.04</v>
      </c>
      <c r="F22" s="249"/>
      <c r="G22" s="249"/>
      <c r="H22" s="250">
        <v>2</v>
      </c>
      <c r="I22" s="250"/>
      <c r="J22" s="54" t="s">
        <v>67</v>
      </c>
      <c r="K22" s="54"/>
    </row>
    <row r="23" spans="1:11" ht="15" customHeight="1" x14ac:dyDescent="0.2">
      <c r="A23" s="251" t="s">
        <v>155</v>
      </c>
      <c r="B23" s="251"/>
      <c r="C23" s="28" t="s">
        <v>156</v>
      </c>
      <c r="D23" s="98" t="s">
        <v>157</v>
      </c>
      <c r="E23" s="225" t="s">
        <v>158</v>
      </c>
      <c r="F23" s="226"/>
      <c r="G23" s="252"/>
      <c r="H23" s="228" t="s">
        <v>159</v>
      </c>
      <c r="I23" s="228"/>
      <c r="J23" s="228"/>
      <c r="K23" s="228"/>
    </row>
    <row r="24" spans="1:11" ht="15" customHeight="1" x14ac:dyDescent="0.2">
      <c r="A24" s="248"/>
      <c r="B24" s="248"/>
      <c r="C24" s="190">
        <f>J20*H22</f>
        <v>42776</v>
      </c>
      <c r="D24" s="185">
        <v>0.09</v>
      </c>
      <c r="E24" s="293">
        <v>0.01</v>
      </c>
      <c r="F24" s="293"/>
      <c r="G24" s="293"/>
      <c r="H24" s="293">
        <v>0.9</v>
      </c>
      <c r="I24" s="293"/>
      <c r="J24" s="293"/>
      <c r="K24" s="293"/>
    </row>
    <row r="25" spans="1:11" ht="15" customHeight="1" x14ac:dyDescent="0.2">
      <c r="A25" s="248"/>
      <c r="B25" s="248"/>
      <c r="C25" s="190"/>
      <c r="D25" s="46">
        <f>C24*D24</f>
        <v>3849.8399999999997</v>
      </c>
      <c r="E25" s="190">
        <f>C24*E24</f>
        <v>427.76</v>
      </c>
      <c r="F25" s="190"/>
      <c r="G25" s="190"/>
      <c r="H25" s="190">
        <f>C24*H24</f>
        <v>38498.400000000001</v>
      </c>
      <c r="I25" s="190"/>
      <c r="J25" s="190"/>
      <c r="K25" s="190"/>
    </row>
    <row r="26" spans="1:11" ht="29.25" customHeight="1" x14ac:dyDescent="0.2">
      <c r="A26" s="237" t="s">
        <v>103</v>
      </c>
      <c r="B26" s="237"/>
      <c r="C26" s="237"/>
      <c r="D26" s="292" t="s">
        <v>201</v>
      </c>
      <c r="E26" s="217"/>
      <c r="F26" s="217"/>
      <c r="G26" s="262" t="s">
        <v>106</v>
      </c>
      <c r="H26" s="263"/>
      <c r="I26" s="219" t="s">
        <v>161</v>
      </c>
      <c r="J26" s="219"/>
      <c r="K26" s="219"/>
    </row>
    <row r="27" spans="1:11" ht="20.100000000000001" customHeight="1" x14ac:dyDescent="0.2">
      <c r="A27" s="251" t="s">
        <v>68</v>
      </c>
      <c r="B27" s="251"/>
      <c r="C27" s="57"/>
      <c r="D27" s="256">
        <f>D29*$C$22</f>
        <v>8555.1999999999989</v>
      </c>
      <c r="E27" s="256"/>
      <c r="F27" s="256"/>
      <c r="G27" s="61" t="s">
        <v>108</v>
      </c>
      <c r="H27" s="99">
        <f>I27/D27</f>
        <v>9.0000000000000018</v>
      </c>
      <c r="I27" s="256">
        <f>I29*C22</f>
        <v>76996.800000000003</v>
      </c>
      <c r="J27" s="256"/>
      <c r="K27" s="256"/>
    </row>
    <row r="28" spans="1:11" ht="20.100000000000001" customHeight="1" x14ac:dyDescent="0.2">
      <c r="A28" s="251" t="s">
        <v>104</v>
      </c>
      <c r="B28" s="251"/>
      <c r="C28" s="57"/>
      <c r="D28" s="222">
        <f>(D25+E25)</f>
        <v>4277.5999999999995</v>
      </c>
      <c r="E28" s="222"/>
      <c r="F28" s="222"/>
      <c r="G28" s="61" t="s">
        <v>108</v>
      </c>
      <c r="H28" s="99">
        <f>I28/D28</f>
        <v>9.0000000000000018</v>
      </c>
      <c r="I28" s="222">
        <f>H25</f>
        <v>38498.400000000001</v>
      </c>
      <c r="J28" s="222"/>
      <c r="K28" s="222"/>
    </row>
    <row r="29" spans="1:11" ht="20.100000000000001" customHeight="1" x14ac:dyDescent="0.2">
      <c r="A29" s="286" t="s">
        <v>69</v>
      </c>
      <c r="B29" s="286"/>
      <c r="C29" s="29"/>
      <c r="D29" s="291">
        <f>D28*$E$22</f>
        <v>171.10399999999998</v>
      </c>
      <c r="E29" s="291"/>
      <c r="F29" s="291"/>
      <c r="G29" s="61" t="s">
        <v>108</v>
      </c>
      <c r="H29" s="100">
        <f>I29/D29</f>
        <v>9.0000000000000018</v>
      </c>
      <c r="I29" s="291">
        <f>I28*$E$22</f>
        <v>1539.9360000000001</v>
      </c>
      <c r="J29" s="291"/>
      <c r="K29" s="291"/>
    </row>
    <row r="30" spans="1:11" ht="20.100000000000001" customHeight="1" x14ac:dyDescent="0.2">
      <c r="A30" s="288" t="s">
        <v>70</v>
      </c>
      <c r="B30" s="288"/>
      <c r="C30" s="58"/>
      <c r="D30" s="265">
        <f>D27*$D$22</f>
        <v>2566.5599999999995</v>
      </c>
      <c r="E30" s="265"/>
      <c r="F30" s="265"/>
      <c r="G30" s="61" t="s">
        <v>108</v>
      </c>
      <c r="H30" s="99">
        <f>I30/D30</f>
        <v>9.0000000000000018</v>
      </c>
      <c r="I30" s="265">
        <f>I27*D22</f>
        <v>23099.040000000001</v>
      </c>
      <c r="J30" s="265"/>
      <c r="K30" s="265"/>
    </row>
    <row r="31" spans="1:11" ht="29.25" customHeight="1" x14ac:dyDescent="0.2">
      <c r="A31" s="48" t="s">
        <v>162</v>
      </c>
      <c r="B31" s="55">
        <f>H22</f>
        <v>2</v>
      </c>
      <c r="C31" s="56" t="s">
        <v>67</v>
      </c>
      <c r="D31" s="217" t="s">
        <v>201</v>
      </c>
      <c r="E31" s="217"/>
      <c r="F31" s="217"/>
      <c r="G31" s="262" t="s">
        <v>106</v>
      </c>
      <c r="H31" s="263"/>
      <c r="I31" s="219" t="s">
        <v>161</v>
      </c>
      <c r="J31" s="219"/>
      <c r="K31" s="219"/>
    </row>
    <row r="32" spans="1:11" ht="20.100000000000001" customHeight="1" x14ac:dyDescent="0.2">
      <c r="A32" s="251" t="s">
        <v>75</v>
      </c>
      <c r="B32" s="251"/>
      <c r="C32" s="60" t="s">
        <v>107</v>
      </c>
      <c r="D32" s="268">
        <f>(D33+D34)*12*H22*E20+D35*E20</f>
        <v>6000</v>
      </c>
      <c r="E32" s="268"/>
      <c r="F32" s="268"/>
      <c r="G32" s="61" t="s">
        <v>108</v>
      </c>
      <c r="H32" s="62">
        <f>D32/I32</f>
        <v>1</v>
      </c>
      <c r="I32" s="269">
        <f>I35*E20+I33*12*H22*E20+I34*12*H22*E20</f>
        <v>6000</v>
      </c>
      <c r="J32" s="269"/>
      <c r="K32" s="269"/>
    </row>
    <row r="33" spans="1:11" ht="15" customHeight="1" x14ac:dyDescent="0.2">
      <c r="A33" s="251"/>
      <c r="B33" s="251"/>
      <c r="C33" s="101" t="s">
        <v>163</v>
      </c>
      <c r="D33" s="266">
        <v>50</v>
      </c>
      <c r="E33" s="266"/>
      <c r="F33" s="266"/>
      <c r="G33" s="267"/>
      <c r="H33" s="267"/>
      <c r="I33" s="266">
        <v>50</v>
      </c>
      <c r="J33" s="266"/>
      <c r="K33" s="266"/>
    </row>
    <row r="34" spans="1:11" ht="15" customHeight="1" x14ac:dyDescent="0.2">
      <c r="A34" s="251"/>
      <c r="B34" s="251"/>
      <c r="C34" s="32" t="s">
        <v>164</v>
      </c>
      <c r="D34" s="266">
        <v>0</v>
      </c>
      <c r="E34" s="266"/>
      <c r="F34" s="266"/>
      <c r="G34" s="267"/>
      <c r="H34" s="267"/>
      <c r="I34" s="266">
        <v>0</v>
      </c>
      <c r="J34" s="266"/>
      <c r="K34" s="266"/>
    </row>
    <row r="35" spans="1:11" ht="15" customHeight="1" x14ac:dyDescent="0.2">
      <c r="A35" s="96"/>
      <c r="B35" s="96"/>
      <c r="C35" s="32" t="s">
        <v>165</v>
      </c>
      <c r="D35" s="266">
        <v>0</v>
      </c>
      <c r="E35" s="266"/>
      <c r="F35" s="266"/>
      <c r="G35" s="97"/>
      <c r="H35" s="97"/>
      <c r="I35" s="266">
        <v>0</v>
      </c>
      <c r="J35" s="266"/>
      <c r="K35" s="266"/>
    </row>
    <row r="36" spans="1:11" ht="20.100000000000001" customHeight="1" x14ac:dyDescent="0.2">
      <c r="A36" s="251" t="s">
        <v>111</v>
      </c>
      <c r="B36" s="251"/>
      <c r="C36" s="60" t="s">
        <v>98</v>
      </c>
      <c r="D36" s="63">
        <f>D32/(D30/(360*$H$22))/30</f>
        <v>56.106227791284844</v>
      </c>
      <c r="E36" s="275" t="s">
        <v>15</v>
      </c>
      <c r="F36" s="275"/>
      <c r="G36" s="61" t="s">
        <v>108</v>
      </c>
      <c r="H36" s="62">
        <f>D36/I36</f>
        <v>9.0000000000000036</v>
      </c>
      <c r="I36" s="63">
        <f>I32/(I30/(360*$H$22))/30</f>
        <v>6.2340253101427585</v>
      </c>
      <c r="J36" s="275" t="s">
        <v>15</v>
      </c>
      <c r="K36" s="275"/>
    </row>
    <row r="37" spans="1:11" ht="15" customHeight="1" x14ac:dyDescent="0.2">
      <c r="A37" s="251"/>
      <c r="B37" s="251"/>
      <c r="C37" s="60" t="s">
        <v>76</v>
      </c>
      <c r="D37" s="290">
        <f>(D30-D32)/D32</f>
        <v>-0.57224000000000008</v>
      </c>
      <c r="E37" s="290"/>
      <c r="F37" s="290"/>
      <c r="G37" s="61" t="s">
        <v>108</v>
      </c>
      <c r="H37" s="62">
        <f>I37/D37</f>
        <v>-4.9801481895708086</v>
      </c>
      <c r="I37" s="270">
        <f>(I30-I32)/I32</f>
        <v>2.8498399999999999</v>
      </c>
      <c r="J37" s="270"/>
      <c r="K37" s="270"/>
    </row>
    <row r="38" spans="1:11" ht="20.100000000000001" customHeight="1" x14ac:dyDescent="0.2">
      <c r="A38" s="286" t="s">
        <v>73</v>
      </c>
      <c r="B38" s="286"/>
      <c r="C38" s="60" t="s">
        <v>112</v>
      </c>
      <c r="D38" s="287">
        <f>D32/D29</f>
        <v>35.066392369553022</v>
      </c>
      <c r="E38" s="287"/>
      <c r="F38" s="287"/>
      <c r="G38" s="61" t="s">
        <v>108</v>
      </c>
      <c r="H38" s="62">
        <f>D38/I38</f>
        <v>9.0000000000000018</v>
      </c>
      <c r="I38" s="280">
        <f>I32/I29</f>
        <v>3.8962658188392241</v>
      </c>
      <c r="J38" s="280"/>
      <c r="K38" s="280"/>
    </row>
    <row r="39" spans="1:11" ht="15" customHeight="1" x14ac:dyDescent="0.2">
      <c r="A39" s="251"/>
      <c r="B39" s="251"/>
      <c r="C39" s="66" t="s">
        <v>71</v>
      </c>
      <c r="D39" s="67">
        <f>D37</f>
        <v>-0.57224000000000008</v>
      </c>
      <c r="E39" s="59" t="s">
        <v>72</v>
      </c>
      <c r="F39" s="68">
        <v>1</v>
      </c>
      <c r="G39" s="61" t="s">
        <v>108</v>
      </c>
      <c r="H39" s="68">
        <f>I39/D39</f>
        <v>-4.9801481895708086</v>
      </c>
      <c r="I39" s="69">
        <f>I37</f>
        <v>2.8498399999999999</v>
      </c>
      <c r="J39" s="70" t="s">
        <v>72</v>
      </c>
      <c r="K39" s="71">
        <v>1</v>
      </c>
    </row>
    <row r="40" spans="1:11" ht="20.100000000000001" customHeight="1" x14ac:dyDescent="0.2">
      <c r="A40" s="288" t="s">
        <v>113</v>
      </c>
      <c r="B40" s="288"/>
      <c r="C40" s="276" t="s">
        <v>114</v>
      </c>
      <c r="D40" s="289">
        <f>D32/D27</f>
        <v>0.70132784739106047</v>
      </c>
      <c r="E40" s="289"/>
      <c r="F40" s="289"/>
      <c r="G40" s="61" t="s">
        <v>108</v>
      </c>
      <c r="H40" s="62">
        <f>D40/I40</f>
        <v>9.0000000000000018</v>
      </c>
      <c r="I40" s="199">
        <f>I32/I27</f>
        <v>7.7925316376784487E-2</v>
      </c>
      <c r="J40" s="199"/>
      <c r="K40" s="199"/>
    </row>
    <row r="41" spans="1:11" ht="15" customHeight="1" x14ac:dyDescent="0.2">
      <c r="A41" s="248"/>
      <c r="B41" s="248"/>
      <c r="C41" s="276"/>
      <c r="D41" s="279"/>
      <c r="E41" s="279"/>
      <c r="F41" s="279"/>
      <c r="G41" s="279"/>
      <c r="H41" s="279"/>
      <c r="I41" s="279"/>
      <c r="J41" s="279"/>
      <c r="K41" s="279"/>
    </row>
    <row r="42" spans="1:11" ht="30" customHeight="1" x14ac:dyDescent="0.2">
      <c r="A42" s="237" t="s">
        <v>115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1:11" ht="15" customHeight="1" x14ac:dyDescent="0.2">
      <c r="A43" s="72"/>
      <c r="B43" s="34"/>
      <c r="C43" s="187" t="s">
        <v>116</v>
      </c>
      <c r="D43" s="187"/>
      <c r="E43" s="187"/>
      <c r="F43" s="187"/>
      <c r="G43" s="187" t="s">
        <v>37</v>
      </c>
      <c r="H43" s="187"/>
      <c r="I43" s="187"/>
      <c r="J43" s="187"/>
      <c r="K43" s="187"/>
    </row>
    <row r="44" spans="1:11" ht="15" customHeight="1" x14ac:dyDescent="0.2">
      <c r="A44" s="30"/>
      <c r="B44" s="30"/>
      <c r="C44" s="187" t="s">
        <v>154</v>
      </c>
      <c r="D44" s="187"/>
      <c r="E44" s="187"/>
      <c r="F44" s="187"/>
      <c r="G44" s="187" t="s">
        <v>38</v>
      </c>
      <c r="H44" s="187"/>
      <c r="I44" s="187"/>
      <c r="J44" s="187"/>
      <c r="K44" s="187"/>
    </row>
    <row r="45" spans="1:11" ht="15.75" customHeight="1" x14ac:dyDescent="0.2">
      <c r="A45" s="30"/>
      <c r="B45" s="30"/>
      <c r="C45" s="187" t="s">
        <v>34</v>
      </c>
      <c r="D45" s="187"/>
      <c r="E45" s="187"/>
      <c r="F45" s="187"/>
      <c r="G45" s="187" t="s">
        <v>39</v>
      </c>
      <c r="H45" s="187"/>
      <c r="I45" s="187"/>
      <c r="J45" s="187"/>
      <c r="K45" s="187"/>
    </row>
    <row r="46" spans="1:11" ht="15.75" x14ac:dyDescent="0.2">
      <c r="A46" s="30"/>
      <c r="B46" s="30"/>
      <c r="C46" s="187" t="s">
        <v>35</v>
      </c>
      <c r="D46" s="187"/>
      <c r="E46" s="187"/>
      <c r="F46" s="187"/>
      <c r="G46" s="187" t="s">
        <v>40</v>
      </c>
      <c r="H46" s="187"/>
      <c r="I46" s="187"/>
      <c r="J46" s="187"/>
      <c r="K46" s="187"/>
    </row>
    <row r="47" spans="1:11" x14ac:dyDescent="0.2">
      <c r="C47" s="187" t="s">
        <v>36</v>
      </c>
      <c r="D47" s="187"/>
      <c r="E47" s="187"/>
      <c r="F47" s="187"/>
      <c r="G47" s="188"/>
      <c r="H47" s="188"/>
      <c r="I47" s="188"/>
      <c r="J47" s="188"/>
      <c r="K47" s="188"/>
    </row>
    <row r="48" spans="1:11" x14ac:dyDescent="0.2">
      <c r="D48" s="35"/>
      <c r="E48" s="35"/>
      <c r="F48" s="35"/>
      <c r="G48" s="35"/>
      <c r="H48" s="35"/>
      <c r="I48" s="35"/>
      <c r="J48" s="35"/>
      <c r="K48" s="35"/>
    </row>
    <row r="49" spans="4:17" x14ac:dyDescent="0.2">
      <c r="D49" s="35"/>
      <c r="E49" s="35"/>
      <c r="F49" s="35"/>
      <c r="G49" s="35"/>
      <c r="H49" s="35"/>
      <c r="I49" s="35"/>
      <c r="J49" s="35"/>
      <c r="K49" s="35"/>
    </row>
    <row r="50" spans="4:17" x14ac:dyDescent="0.2">
      <c r="D50" s="35"/>
      <c r="E50" s="35"/>
      <c r="F50" s="35"/>
      <c r="G50" s="35"/>
      <c r="H50" s="35"/>
      <c r="I50" s="35"/>
      <c r="J50" s="35"/>
      <c r="K50" s="35"/>
    </row>
    <row r="51" spans="4:17" x14ac:dyDescent="0.2">
      <c r="D51" s="35"/>
      <c r="E51" s="35"/>
      <c r="F51" s="35"/>
      <c r="G51" s="35"/>
      <c r="H51" s="35"/>
      <c r="I51" s="35"/>
      <c r="J51" s="35"/>
      <c r="K51" s="35"/>
    </row>
    <row r="52" spans="4:17" x14ac:dyDescent="0.2">
      <c r="D52" s="35"/>
      <c r="E52" s="35"/>
      <c r="F52" s="35"/>
      <c r="G52" s="35"/>
      <c r="H52" s="35"/>
      <c r="I52" s="35"/>
      <c r="J52" s="35"/>
      <c r="K52" s="35"/>
    </row>
    <row r="53" spans="4:17" x14ac:dyDescent="0.2">
      <c r="D53" s="35"/>
      <c r="E53" s="35"/>
      <c r="F53" s="35"/>
      <c r="G53" s="35"/>
      <c r="H53" s="35"/>
      <c r="I53" s="35"/>
      <c r="J53" s="35"/>
      <c r="K53" s="35"/>
    </row>
    <row r="54" spans="4:17" x14ac:dyDescent="0.2">
      <c r="D54" s="35"/>
      <c r="E54" s="35"/>
      <c r="F54" s="35"/>
      <c r="G54" s="35"/>
      <c r="H54" s="35"/>
      <c r="I54" s="35"/>
      <c r="J54" s="35"/>
      <c r="K54" s="35"/>
    </row>
    <row r="55" spans="4:17" x14ac:dyDescent="0.2">
      <c r="D55" s="35"/>
      <c r="E55" s="35"/>
      <c r="F55" s="35"/>
      <c r="G55" s="35"/>
      <c r="H55" s="35"/>
      <c r="I55" s="35"/>
      <c r="J55" s="35"/>
      <c r="K55" s="35"/>
    </row>
    <row r="56" spans="4:17" x14ac:dyDescent="0.2">
      <c r="D56" s="35"/>
      <c r="E56" s="35"/>
      <c r="F56" s="35"/>
      <c r="G56" s="35"/>
      <c r="H56" s="35"/>
      <c r="I56" s="35"/>
      <c r="J56" s="35"/>
      <c r="K56" s="35"/>
    </row>
    <row r="57" spans="4:17" x14ac:dyDescent="0.2">
      <c r="D57" s="35"/>
      <c r="E57" s="35"/>
      <c r="F57" s="35"/>
      <c r="G57" s="35"/>
      <c r="H57" s="35"/>
      <c r="I57" s="35"/>
      <c r="J57" s="35"/>
      <c r="K57" s="35"/>
    </row>
    <row r="58" spans="4:17" x14ac:dyDescent="0.2">
      <c r="D58" s="35"/>
      <c r="E58" s="35"/>
      <c r="F58" s="35"/>
      <c r="G58" s="35"/>
      <c r="H58" s="35"/>
      <c r="I58" s="35"/>
      <c r="J58" s="35"/>
      <c r="K58" s="35"/>
    </row>
    <row r="59" spans="4:17" x14ac:dyDescent="0.2">
      <c r="D59" s="35"/>
      <c r="E59" s="35"/>
      <c r="F59" s="35"/>
      <c r="G59" s="35"/>
      <c r="H59" s="35"/>
      <c r="I59" s="35"/>
      <c r="J59" s="35"/>
      <c r="K59" s="35"/>
    </row>
    <row r="60" spans="4:17" ht="22.5" x14ac:dyDescent="0.2">
      <c r="D60" s="35"/>
      <c r="E60" s="35"/>
      <c r="F60" s="35"/>
      <c r="G60" s="35"/>
      <c r="H60" s="35"/>
      <c r="I60" s="35"/>
      <c r="J60" s="35"/>
      <c r="K60" s="35"/>
      <c r="M60" s="36" t="s">
        <v>77</v>
      </c>
      <c r="N60" s="36" t="s">
        <v>57</v>
      </c>
      <c r="O60" s="37" t="s">
        <v>99</v>
      </c>
      <c r="P60" s="37" t="s">
        <v>59</v>
      </c>
      <c r="Q60" s="37" t="s">
        <v>78</v>
      </c>
    </row>
    <row r="61" spans="4:17" ht="15.75" x14ac:dyDescent="0.25">
      <c r="D61" s="35"/>
      <c r="E61" s="35"/>
      <c r="F61" s="35"/>
      <c r="G61" s="35"/>
      <c r="H61" s="35"/>
      <c r="I61" s="35"/>
      <c r="J61" s="35"/>
      <c r="K61" s="35"/>
      <c r="M61" s="38" t="s">
        <v>10</v>
      </c>
      <c r="N61" s="39">
        <v>170000</v>
      </c>
      <c r="O61" s="45">
        <v>1.2E-2</v>
      </c>
      <c r="P61" s="40">
        <v>0.2</v>
      </c>
      <c r="Q61" s="41">
        <v>440</v>
      </c>
    </row>
    <row r="62" spans="4:17" ht="15" x14ac:dyDescent="0.2">
      <c r="D62" s="35"/>
      <c r="E62" s="35"/>
      <c r="F62" s="35"/>
      <c r="G62" s="35"/>
      <c r="H62" s="35"/>
      <c r="I62" s="35"/>
      <c r="J62" s="35"/>
      <c r="K62" s="35"/>
      <c r="M62" s="42" t="s">
        <v>79</v>
      </c>
      <c r="N62" s="39">
        <v>1996000</v>
      </c>
      <c r="O62" s="45">
        <v>2.1999999999999999E-2</v>
      </c>
      <c r="P62" s="40">
        <v>0.4</v>
      </c>
      <c r="Q62" s="41">
        <v>1320</v>
      </c>
    </row>
    <row r="63" spans="4:17" ht="15" x14ac:dyDescent="0.2">
      <c r="D63" s="35"/>
      <c r="E63" s="35"/>
      <c r="F63" s="35"/>
      <c r="G63" s="35"/>
      <c r="H63" s="35"/>
      <c r="I63" s="35"/>
      <c r="J63" s="35"/>
      <c r="K63" s="35"/>
      <c r="M63" s="43" t="s">
        <v>11</v>
      </c>
      <c r="N63" s="39">
        <v>340000</v>
      </c>
      <c r="O63" s="45">
        <v>1.4E-2</v>
      </c>
      <c r="P63" s="40">
        <v>0.2</v>
      </c>
      <c r="Q63" s="41">
        <v>440</v>
      </c>
    </row>
    <row r="64" spans="4:17" ht="15" x14ac:dyDescent="0.2">
      <c r="D64" s="35"/>
      <c r="E64" s="35"/>
      <c r="F64" s="35"/>
      <c r="G64" s="35"/>
      <c r="H64" s="35"/>
      <c r="I64" s="35"/>
      <c r="J64" s="35"/>
      <c r="K64" s="35"/>
      <c r="M64" s="43" t="s">
        <v>80</v>
      </c>
      <c r="N64" s="39">
        <v>357000</v>
      </c>
      <c r="O64" s="45">
        <v>5.0000000000000001E-3</v>
      </c>
      <c r="P64" s="40">
        <v>0.2</v>
      </c>
      <c r="Q64" s="41">
        <v>440</v>
      </c>
    </row>
    <row r="65" spans="4:17" ht="15" x14ac:dyDescent="0.2">
      <c r="D65" s="35"/>
      <c r="E65" s="35"/>
      <c r="F65" s="35"/>
      <c r="G65" s="35"/>
      <c r="H65" s="35"/>
      <c r="I65" s="35"/>
      <c r="J65" s="35"/>
      <c r="K65" s="35"/>
      <c r="M65" s="43" t="s">
        <v>12</v>
      </c>
      <c r="N65" s="39">
        <v>360000</v>
      </c>
      <c r="O65" s="45">
        <v>1.7999999999999999E-2</v>
      </c>
      <c r="P65" s="40">
        <v>0.2</v>
      </c>
      <c r="Q65" s="41">
        <v>440</v>
      </c>
    </row>
    <row r="66" spans="4:17" ht="15" x14ac:dyDescent="0.2">
      <c r="D66" s="35"/>
      <c r="E66" s="35"/>
      <c r="F66" s="35"/>
      <c r="G66" s="35"/>
      <c r="H66" s="35"/>
      <c r="I66" s="35"/>
      <c r="J66" s="35"/>
      <c r="K66" s="35"/>
      <c r="M66" s="43" t="s">
        <v>13</v>
      </c>
      <c r="N66" s="39">
        <v>353000</v>
      </c>
      <c r="O66" s="45">
        <v>1.6E-2</v>
      </c>
      <c r="P66" s="40">
        <v>0.2</v>
      </c>
      <c r="Q66" s="41">
        <v>440</v>
      </c>
    </row>
    <row r="67" spans="4:17" ht="15" x14ac:dyDescent="0.2">
      <c r="D67" s="35"/>
      <c r="E67" s="35"/>
      <c r="F67" s="35"/>
      <c r="G67" s="35"/>
      <c r="H67" s="35"/>
      <c r="I67" s="35"/>
      <c r="J67" s="35"/>
      <c r="K67" s="35"/>
      <c r="M67" s="43" t="s">
        <v>24</v>
      </c>
      <c r="N67" s="39">
        <v>205000</v>
      </c>
      <c r="O67" s="45">
        <v>1.2E-2</v>
      </c>
      <c r="P67" s="40">
        <v>0.2</v>
      </c>
      <c r="Q67" s="41">
        <v>440</v>
      </c>
    </row>
    <row r="68" spans="4:17" ht="15" x14ac:dyDescent="0.2">
      <c r="D68" s="35"/>
      <c r="E68" s="35"/>
      <c r="F68" s="35"/>
      <c r="G68" s="35"/>
      <c r="H68" s="35"/>
      <c r="I68" s="35"/>
      <c r="J68" s="35"/>
      <c r="K68" s="35"/>
      <c r="M68" s="43" t="s">
        <v>81</v>
      </c>
      <c r="N68" s="39">
        <v>500000</v>
      </c>
      <c r="O68" s="45">
        <v>1.4999999999999999E-2</v>
      </c>
      <c r="P68" s="40">
        <v>0.2</v>
      </c>
      <c r="Q68" s="41">
        <v>440</v>
      </c>
    </row>
    <row r="69" spans="4:17" ht="15" x14ac:dyDescent="0.2">
      <c r="D69" s="35"/>
      <c r="E69" s="35"/>
      <c r="F69" s="35"/>
      <c r="G69" s="35"/>
      <c r="H69" s="35"/>
      <c r="I69" s="35"/>
      <c r="J69" s="35"/>
      <c r="K69" s="35"/>
      <c r="M69" s="42" t="s">
        <v>82</v>
      </c>
      <c r="N69" s="39">
        <v>13000000</v>
      </c>
      <c r="O69" s="45">
        <v>4.1000000000000002E-2</v>
      </c>
      <c r="P69" s="40">
        <v>4</v>
      </c>
      <c r="Q69" s="41">
        <v>1320</v>
      </c>
    </row>
    <row r="70" spans="4:17" ht="15" x14ac:dyDescent="0.2">
      <c r="D70" s="35"/>
      <c r="E70" s="35"/>
      <c r="F70" s="35"/>
      <c r="G70" s="35"/>
      <c r="H70" s="35"/>
      <c r="I70" s="35"/>
      <c r="J70" s="35"/>
      <c r="K70" s="35"/>
      <c r="M70" s="43" t="s">
        <v>83</v>
      </c>
      <c r="N70" s="39">
        <v>5590000</v>
      </c>
      <c r="O70" s="45">
        <v>5.5E-2</v>
      </c>
      <c r="P70" s="40">
        <v>2</v>
      </c>
      <c r="Q70" s="41">
        <v>1320</v>
      </c>
    </row>
    <row r="71" spans="4:17" ht="15" x14ac:dyDescent="0.2">
      <c r="D71" s="35"/>
      <c r="E71" s="35"/>
      <c r="F71" s="35"/>
      <c r="G71" s="35"/>
      <c r="H71" s="35"/>
      <c r="I71" s="35"/>
      <c r="J71" s="35"/>
      <c r="K71" s="35"/>
      <c r="M71" s="43" t="s">
        <v>84</v>
      </c>
      <c r="N71" s="39">
        <v>1630000</v>
      </c>
      <c r="O71" s="45">
        <v>2.4E-2</v>
      </c>
      <c r="P71" s="40">
        <v>1</v>
      </c>
      <c r="Q71" s="41">
        <v>1320</v>
      </c>
    </row>
    <row r="72" spans="4:17" ht="15" x14ac:dyDescent="0.2">
      <c r="D72" s="35"/>
      <c r="E72" s="35"/>
      <c r="F72" s="35"/>
      <c r="G72" s="35"/>
      <c r="H72" s="35"/>
      <c r="I72" s="35"/>
      <c r="J72" s="35"/>
      <c r="K72" s="35"/>
      <c r="M72" s="43" t="s">
        <v>85</v>
      </c>
      <c r="N72" s="39">
        <v>1550000</v>
      </c>
      <c r="O72" s="45">
        <v>3.4000000000000002E-2</v>
      </c>
      <c r="P72" s="40">
        <v>1</v>
      </c>
      <c r="Q72" s="41">
        <v>1320</v>
      </c>
    </row>
    <row r="73" spans="4:17" ht="15" x14ac:dyDescent="0.2">
      <c r="D73" s="35"/>
      <c r="E73" s="35"/>
      <c r="F73" s="35"/>
      <c r="G73" s="35"/>
      <c r="H73" s="35"/>
      <c r="I73" s="35"/>
      <c r="J73" s="35"/>
      <c r="K73" s="35"/>
      <c r="M73" s="43" t="s">
        <v>86</v>
      </c>
      <c r="N73" s="39">
        <v>1300000</v>
      </c>
      <c r="O73" s="45">
        <v>2.1999999999999999E-2</v>
      </c>
      <c r="P73" s="40">
        <v>1</v>
      </c>
      <c r="Q73" s="41">
        <v>1320</v>
      </c>
    </row>
    <row r="74" spans="4:17" ht="15" x14ac:dyDescent="0.2">
      <c r="D74" s="35"/>
      <c r="E74" s="35"/>
      <c r="F74" s="35"/>
      <c r="G74" s="35"/>
      <c r="H74" s="35"/>
      <c r="I74" s="35"/>
      <c r="J74" s="35"/>
      <c r="K74" s="35"/>
      <c r="M74" s="43" t="s">
        <v>87</v>
      </c>
      <c r="N74" s="39">
        <v>1100000</v>
      </c>
      <c r="O74" s="45">
        <v>4.2000000000000003E-2</v>
      </c>
      <c r="P74" s="40">
        <v>1</v>
      </c>
      <c r="Q74" s="41">
        <v>1320</v>
      </c>
    </row>
    <row r="75" spans="4:17" ht="15" x14ac:dyDescent="0.2">
      <c r="D75" s="35"/>
      <c r="E75" s="35"/>
      <c r="F75" s="35"/>
      <c r="G75" s="35"/>
      <c r="H75" s="35"/>
      <c r="I75" s="35"/>
      <c r="J75" s="35"/>
      <c r="K75" s="35"/>
      <c r="M75" s="43" t="s">
        <v>88</v>
      </c>
      <c r="N75" s="39">
        <v>1220000</v>
      </c>
      <c r="O75" s="45">
        <v>4.2999999999999997E-2</v>
      </c>
      <c r="P75" s="40">
        <v>1</v>
      </c>
      <c r="Q75" s="41">
        <v>1320</v>
      </c>
    </row>
    <row r="76" spans="4:17" ht="15" x14ac:dyDescent="0.2">
      <c r="D76" s="35"/>
      <c r="E76" s="35"/>
      <c r="F76" s="35"/>
      <c r="G76" s="35"/>
      <c r="H76" s="35"/>
      <c r="I76" s="35"/>
      <c r="J76" s="35"/>
      <c r="K76" s="35"/>
      <c r="M76" s="43" t="s">
        <v>89</v>
      </c>
      <c r="N76" s="39">
        <v>1190000</v>
      </c>
      <c r="O76" s="45">
        <v>2.1999999999999999E-2</v>
      </c>
      <c r="P76" s="40">
        <v>1</v>
      </c>
      <c r="Q76" s="41">
        <v>1320</v>
      </c>
    </row>
    <row r="77" spans="4:17" ht="15" x14ac:dyDescent="0.2">
      <c r="D77" s="35"/>
      <c r="E77" s="35"/>
      <c r="F77" s="35"/>
      <c r="G77" s="35"/>
      <c r="H77" s="35"/>
      <c r="I77" s="35"/>
      <c r="J77" s="35"/>
      <c r="K77" s="35"/>
      <c r="M77" s="43" t="s">
        <v>90</v>
      </c>
      <c r="N77" s="39">
        <v>1190000</v>
      </c>
      <c r="O77" s="45">
        <v>1.4999999999999999E-2</v>
      </c>
      <c r="P77" s="40">
        <v>1</v>
      </c>
      <c r="Q77" s="41">
        <v>1320</v>
      </c>
    </row>
    <row r="78" spans="4:17" ht="15" x14ac:dyDescent="0.2">
      <c r="D78" s="35"/>
      <c r="E78" s="35"/>
      <c r="F78" s="35"/>
      <c r="G78" s="35"/>
      <c r="H78" s="35"/>
      <c r="I78" s="35"/>
      <c r="J78" s="35"/>
      <c r="K78" s="35"/>
      <c r="M78" s="43" t="s">
        <v>91</v>
      </c>
      <c r="N78" s="39">
        <v>1170000</v>
      </c>
      <c r="O78" s="45">
        <v>2.8000000000000001E-2</v>
      </c>
      <c r="P78" s="40">
        <v>1</v>
      </c>
      <c r="Q78" s="41">
        <v>1320</v>
      </c>
    </row>
    <row r="79" spans="4:17" ht="15" x14ac:dyDescent="0.2">
      <c r="D79" s="35"/>
      <c r="E79" s="35"/>
      <c r="F79" s="35"/>
      <c r="G79" s="35"/>
      <c r="H79" s="35"/>
      <c r="I79" s="35"/>
      <c r="J79" s="35"/>
      <c r="K79" s="35"/>
      <c r="M79" s="43" t="s">
        <v>92</v>
      </c>
      <c r="N79" s="39">
        <v>1145000</v>
      </c>
      <c r="O79" s="45">
        <v>2.1000000000000001E-2</v>
      </c>
      <c r="P79" s="40">
        <v>1</v>
      </c>
      <c r="Q79" s="41">
        <v>1320</v>
      </c>
    </row>
    <row r="80" spans="4:17" ht="15" x14ac:dyDescent="0.2">
      <c r="D80" s="35"/>
      <c r="E80" s="35"/>
      <c r="F80" s="35"/>
      <c r="G80" s="35"/>
      <c r="H80" s="35"/>
      <c r="I80" s="35"/>
      <c r="J80" s="35"/>
      <c r="K80" s="35"/>
      <c r="M80" s="43" t="s">
        <v>93</v>
      </c>
      <c r="N80" s="39">
        <v>1140000</v>
      </c>
      <c r="O80" s="45">
        <v>3.2000000000000001E-2</v>
      </c>
      <c r="P80" s="40">
        <v>1</v>
      </c>
      <c r="Q80" s="41">
        <v>1320</v>
      </c>
    </row>
    <row r="81" spans="4:17" ht="15" x14ac:dyDescent="0.2">
      <c r="D81" s="35"/>
      <c r="E81" s="35"/>
      <c r="F81" s="35"/>
      <c r="G81" s="35"/>
      <c r="H81" s="35"/>
      <c r="I81" s="35"/>
      <c r="J81" s="35"/>
      <c r="K81" s="35"/>
      <c r="M81" s="43" t="s">
        <v>94</v>
      </c>
      <c r="N81" s="39">
        <v>1120000</v>
      </c>
      <c r="O81" s="45">
        <v>0.02</v>
      </c>
      <c r="P81" s="40">
        <v>1</v>
      </c>
      <c r="Q81" s="41">
        <v>1320</v>
      </c>
    </row>
    <row r="82" spans="4:17" ht="15" x14ac:dyDescent="0.2">
      <c r="D82" s="35"/>
      <c r="E82" s="35"/>
      <c r="F82" s="35"/>
      <c r="G82" s="35"/>
      <c r="H82" s="35"/>
      <c r="I82" s="35"/>
      <c r="J82" s="35"/>
      <c r="K82" s="35"/>
      <c r="M82" s="43" t="s">
        <v>95</v>
      </c>
      <c r="N82" s="39">
        <v>1060000</v>
      </c>
      <c r="O82" s="45">
        <v>3.3000000000000002E-2</v>
      </c>
      <c r="P82" s="40">
        <v>1</v>
      </c>
      <c r="Q82" s="41">
        <v>1320</v>
      </c>
    </row>
    <row r="83" spans="4:17" ht="15" x14ac:dyDescent="0.2">
      <c r="D83" s="35"/>
      <c r="E83" s="35"/>
      <c r="F83" s="35"/>
      <c r="G83" s="35"/>
      <c r="H83" s="35"/>
      <c r="I83" s="35"/>
      <c r="J83" s="35"/>
      <c r="K83" s="35"/>
      <c r="M83" s="43" t="s">
        <v>96</v>
      </c>
      <c r="N83" s="39">
        <v>1030000</v>
      </c>
      <c r="O83" s="45">
        <v>2.7E-2</v>
      </c>
      <c r="P83" s="40">
        <v>1</v>
      </c>
      <c r="Q83" s="41">
        <v>1320</v>
      </c>
    </row>
    <row r="84" spans="4:17" ht="15" x14ac:dyDescent="0.2">
      <c r="D84" s="35"/>
      <c r="E84" s="35"/>
      <c r="F84" s="35"/>
      <c r="G84" s="35"/>
      <c r="H84" s="35"/>
      <c r="I84" s="35"/>
      <c r="J84" s="35"/>
      <c r="K84" s="35"/>
      <c r="M84" s="43" t="s">
        <v>97</v>
      </c>
      <c r="N84" s="39">
        <v>1050000</v>
      </c>
      <c r="O84" s="45">
        <v>2.5000000000000001E-2</v>
      </c>
      <c r="P84" s="40">
        <v>1</v>
      </c>
      <c r="Q84" s="41">
        <v>1320</v>
      </c>
    </row>
    <row r="85" spans="4:17" x14ac:dyDescent="0.2">
      <c r="D85" s="35"/>
      <c r="E85" s="35"/>
      <c r="F85" s="35"/>
      <c r="G85" s="35"/>
      <c r="H85" s="35"/>
      <c r="I85" s="35"/>
      <c r="J85" s="35"/>
      <c r="K85" s="35"/>
    </row>
    <row r="86" spans="4:17" x14ac:dyDescent="0.2">
      <c r="D86" s="35"/>
      <c r="E86" s="35"/>
      <c r="F86" s="35"/>
      <c r="G86" s="35"/>
      <c r="H86" s="35"/>
      <c r="I86" s="35"/>
      <c r="J86" s="35"/>
      <c r="K86" s="35"/>
    </row>
    <row r="87" spans="4:17" x14ac:dyDescent="0.2">
      <c r="D87" s="35"/>
      <c r="E87" s="35"/>
      <c r="F87" s="35"/>
      <c r="G87" s="35"/>
      <c r="H87" s="35"/>
      <c r="I87" s="35"/>
      <c r="J87" s="35"/>
      <c r="K87" s="35"/>
    </row>
    <row r="88" spans="4:17" x14ac:dyDescent="0.2">
      <c r="D88" s="35"/>
      <c r="E88" s="35"/>
      <c r="F88" s="35"/>
      <c r="G88" s="35"/>
      <c r="H88" s="35"/>
      <c r="I88" s="35"/>
      <c r="J88" s="35"/>
      <c r="K88" s="35"/>
    </row>
    <row r="89" spans="4:17" x14ac:dyDescent="0.2">
      <c r="D89" s="35"/>
      <c r="E89" s="35"/>
      <c r="F89" s="35"/>
      <c r="G89" s="35"/>
      <c r="H89" s="35"/>
      <c r="I89" s="35"/>
      <c r="J89" s="35"/>
      <c r="K89" s="35"/>
    </row>
    <row r="90" spans="4:17" x14ac:dyDescent="0.2">
      <c r="D90" s="35"/>
      <c r="E90" s="35"/>
      <c r="F90" s="35"/>
      <c r="G90" s="35"/>
      <c r="H90" s="35"/>
      <c r="I90" s="35"/>
      <c r="J90" s="35"/>
      <c r="K90" s="35"/>
    </row>
    <row r="91" spans="4:17" x14ac:dyDescent="0.2">
      <c r="D91" s="35"/>
      <c r="E91" s="35"/>
      <c r="F91" s="35"/>
      <c r="G91" s="35"/>
      <c r="H91" s="35"/>
      <c r="I91" s="35"/>
      <c r="J91" s="35"/>
      <c r="K91" s="35"/>
    </row>
    <row r="92" spans="4:17" x14ac:dyDescent="0.2">
      <c r="D92" s="35"/>
      <c r="E92" s="35"/>
      <c r="F92" s="35"/>
      <c r="G92" s="35"/>
      <c r="H92" s="35"/>
      <c r="I92" s="35"/>
      <c r="J92" s="35"/>
      <c r="K92" s="35"/>
    </row>
    <row r="93" spans="4:17" x14ac:dyDescent="0.2">
      <c r="D93" s="35"/>
      <c r="E93" s="35"/>
      <c r="F93" s="35"/>
      <c r="G93" s="35"/>
      <c r="H93" s="35"/>
      <c r="I93" s="35"/>
      <c r="J93" s="35"/>
      <c r="K93" s="35"/>
    </row>
    <row r="94" spans="4:17" x14ac:dyDescent="0.2">
      <c r="D94" s="35"/>
      <c r="E94" s="35"/>
      <c r="F94" s="35"/>
      <c r="G94" s="35"/>
      <c r="H94" s="35"/>
      <c r="I94" s="35"/>
      <c r="J94" s="35"/>
      <c r="K94" s="35"/>
    </row>
    <row r="95" spans="4:17" x14ac:dyDescent="0.2">
      <c r="D95" s="35"/>
      <c r="E95" s="35"/>
      <c r="F95" s="35"/>
      <c r="G95" s="35"/>
      <c r="H95" s="35"/>
      <c r="I95" s="35"/>
      <c r="J95" s="35"/>
      <c r="K95" s="35"/>
    </row>
    <row r="96" spans="4:17" ht="15.75" customHeight="1" x14ac:dyDescent="0.2">
      <c r="D96" s="35"/>
      <c r="E96" s="35"/>
      <c r="F96" s="35"/>
      <c r="G96" s="35"/>
      <c r="H96" s="35"/>
      <c r="I96" s="35"/>
      <c r="J96" s="35"/>
      <c r="K96" s="35"/>
    </row>
    <row r="97" spans="4:11" ht="15.75" customHeight="1" x14ac:dyDescent="0.2">
      <c r="D97" s="35"/>
      <c r="E97" s="35"/>
      <c r="F97" s="35"/>
      <c r="G97" s="35"/>
      <c r="H97" s="35"/>
      <c r="I97" s="35"/>
      <c r="J97" s="35"/>
      <c r="K97" s="35"/>
    </row>
    <row r="98" spans="4:11" ht="45.75" customHeight="1" x14ac:dyDescent="0.2">
      <c r="I98" s="35"/>
      <c r="J98" s="35"/>
      <c r="K98" s="35"/>
    </row>
    <row r="99" spans="4:11" ht="15" customHeight="1" x14ac:dyDescent="0.2">
      <c r="I99" s="35"/>
      <c r="J99" s="35"/>
      <c r="K99" s="35"/>
    </row>
    <row r="100" spans="4:11" ht="15" customHeight="1" x14ac:dyDescent="0.2">
      <c r="I100" s="35"/>
      <c r="J100" s="35"/>
      <c r="K100" s="35"/>
    </row>
    <row r="101" spans="4:11" ht="15" customHeight="1" x14ac:dyDescent="0.2">
      <c r="I101" s="35"/>
      <c r="J101" s="35"/>
      <c r="K101" s="35"/>
    </row>
    <row r="102" spans="4:11" ht="15" customHeight="1" x14ac:dyDescent="0.2">
      <c r="I102" s="35"/>
      <c r="J102" s="35"/>
      <c r="K102" s="35"/>
    </row>
    <row r="103" spans="4:11" ht="15" customHeight="1" x14ac:dyDescent="0.2">
      <c r="I103" s="35"/>
      <c r="J103" s="35"/>
      <c r="K103" s="35"/>
    </row>
    <row r="104" spans="4:11" ht="15" customHeight="1" x14ac:dyDescent="0.2">
      <c r="I104" s="35"/>
      <c r="J104" s="35"/>
      <c r="K104" s="35"/>
    </row>
    <row r="105" spans="4:11" ht="15" customHeight="1" x14ac:dyDescent="0.2"/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>
      <c r="J115" s="44"/>
      <c r="K115" s="44"/>
    </row>
    <row r="116" spans="9:11" ht="15" customHeight="1" x14ac:dyDescent="0.2">
      <c r="J116" s="44"/>
      <c r="K116" s="44"/>
    </row>
    <row r="117" spans="9:11" ht="15" customHeight="1" x14ac:dyDescent="0.2">
      <c r="J117" s="44"/>
      <c r="K117" s="44"/>
    </row>
    <row r="118" spans="9:11" ht="15" customHeight="1" x14ac:dyDescent="0.2"/>
    <row r="119" spans="9:11" ht="15" customHeight="1" x14ac:dyDescent="0.2"/>
    <row r="120" spans="9:11" ht="15" customHeight="1" x14ac:dyDescent="0.2">
      <c r="I120" s="33"/>
      <c r="J120" s="33"/>
      <c r="K120" s="33"/>
    </row>
  </sheetData>
  <mergeCells count="106">
    <mergeCell ref="A11:B11"/>
    <mergeCell ref="A12:K12"/>
    <mergeCell ref="A13:B13"/>
    <mergeCell ref="E13:G13"/>
    <mergeCell ref="H13:I13"/>
    <mergeCell ref="J13:K13"/>
    <mergeCell ref="A21:B21"/>
    <mergeCell ref="E21:G21"/>
    <mergeCell ref="H21:K21"/>
    <mergeCell ref="A23:B23"/>
    <mergeCell ref="E23:G23"/>
    <mergeCell ref="H23:K23"/>
    <mergeCell ref="A22:B22"/>
    <mergeCell ref="E22:G22"/>
    <mergeCell ref="H22:I22"/>
    <mergeCell ref="A14:B14"/>
    <mergeCell ref="E14:G14"/>
    <mergeCell ref="H14:I14"/>
    <mergeCell ref="J14:K14"/>
    <mergeCell ref="A20:B20"/>
    <mergeCell ref="E20:G20"/>
    <mergeCell ref="H20:I20"/>
    <mergeCell ref="J20:K20"/>
    <mergeCell ref="E19:G19"/>
    <mergeCell ref="H17:I17"/>
    <mergeCell ref="H18:I18"/>
    <mergeCell ref="H19:I19"/>
    <mergeCell ref="J15:K15"/>
    <mergeCell ref="J16:K16"/>
    <mergeCell ref="J17:K17"/>
    <mergeCell ref="J18:K18"/>
    <mergeCell ref="J19:K19"/>
    <mergeCell ref="A26:C26"/>
    <mergeCell ref="D26:F26"/>
    <mergeCell ref="G26:H26"/>
    <mergeCell ref="I26:K26"/>
    <mergeCell ref="A27:B27"/>
    <mergeCell ref="D27:F27"/>
    <mergeCell ref="I27:K27"/>
    <mergeCell ref="A24:B24"/>
    <mergeCell ref="C24:C25"/>
    <mergeCell ref="E24:G24"/>
    <mergeCell ref="H24:K24"/>
    <mergeCell ref="A25:B25"/>
    <mergeCell ref="E25:G25"/>
    <mergeCell ref="H25:K25"/>
    <mergeCell ref="A30:B30"/>
    <mergeCell ref="D30:F30"/>
    <mergeCell ref="I30:K30"/>
    <mergeCell ref="D31:F31"/>
    <mergeCell ref="G31:H31"/>
    <mergeCell ref="I31:K31"/>
    <mergeCell ref="A28:B28"/>
    <mergeCell ref="D28:F28"/>
    <mergeCell ref="I28:K28"/>
    <mergeCell ref="A29:B29"/>
    <mergeCell ref="D29:F29"/>
    <mergeCell ref="I29:K29"/>
    <mergeCell ref="A34:B34"/>
    <mergeCell ref="D34:F34"/>
    <mergeCell ref="G34:H34"/>
    <mergeCell ref="I34:K34"/>
    <mergeCell ref="D35:F35"/>
    <mergeCell ref="I35:K35"/>
    <mergeCell ref="A32:B32"/>
    <mergeCell ref="D32:F32"/>
    <mergeCell ref="I32:K32"/>
    <mergeCell ref="A33:B33"/>
    <mergeCell ref="D33:F33"/>
    <mergeCell ref="G33:H33"/>
    <mergeCell ref="I33:K33"/>
    <mergeCell ref="A40:B40"/>
    <mergeCell ref="C40:C41"/>
    <mergeCell ref="D40:F40"/>
    <mergeCell ref="I40:K40"/>
    <mergeCell ref="A41:B41"/>
    <mergeCell ref="A36:B36"/>
    <mergeCell ref="E36:F36"/>
    <mergeCell ref="J36:K36"/>
    <mergeCell ref="A37:B37"/>
    <mergeCell ref="D37:F37"/>
    <mergeCell ref="I37:K37"/>
    <mergeCell ref="C47:F47"/>
    <mergeCell ref="G47:K47"/>
    <mergeCell ref="C45:F45"/>
    <mergeCell ref="G45:K45"/>
    <mergeCell ref="D41:F41"/>
    <mergeCell ref="C46:F46"/>
    <mergeCell ref="G46:K46"/>
    <mergeCell ref="H15:I15"/>
    <mergeCell ref="H16:I16"/>
    <mergeCell ref="E15:G15"/>
    <mergeCell ref="E16:G16"/>
    <mergeCell ref="E17:G17"/>
    <mergeCell ref="E18:G18"/>
    <mergeCell ref="G41:H41"/>
    <mergeCell ref="I41:K41"/>
    <mergeCell ref="A42:K42"/>
    <mergeCell ref="C43:F43"/>
    <mergeCell ref="G43:K43"/>
    <mergeCell ref="C44:F44"/>
    <mergeCell ref="G44:K44"/>
    <mergeCell ref="A38:B38"/>
    <mergeCell ref="D38:F38"/>
    <mergeCell ref="I38:K38"/>
    <mergeCell ref="A39:B39"/>
  </mergeCells>
  <dataValidations count="2">
    <dataValidation allowBlank="1" showInputMessage="1" showErrorMessage="1" promptTitle="Введите свой город" sqref="D21 D23 C29 A29 D14:D19" xr:uid="{79C800FE-A920-4C73-B9F3-57A57028080D}"/>
    <dataValidation type="list" allowBlank="1" showInputMessage="1" showErrorMessage="1" sqref="A14:A19" xr:uid="{3887277E-38C9-43CB-AA1C-EB72802451F1}">
      <formula1>$M$61:$M$83</formula1>
    </dataValidation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60F2-1800-4EB2-8DF5-A48F9B5F8781}">
  <dimension ref="A10:Q120"/>
  <sheetViews>
    <sheetView topLeftCell="A25" workbookViewId="0">
      <selection activeCell="C43" sqref="C43:K47"/>
    </sheetView>
  </sheetViews>
  <sheetFormatPr defaultRowHeight="14.25" x14ac:dyDescent="0.2"/>
  <cols>
    <col min="1" max="1" width="18.42578125" style="26" customWidth="1"/>
    <col min="2" max="2" width="2.5703125" style="26" customWidth="1"/>
    <col min="3" max="3" width="21.42578125" style="26" customWidth="1"/>
    <col min="4" max="4" width="13" style="26" customWidth="1"/>
    <col min="5" max="5" width="3.85546875" style="26" customWidth="1"/>
    <col min="6" max="6" width="9.140625" style="26" customWidth="1"/>
    <col min="7" max="7" width="2.85546875" style="26" customWidth="1"/>
    <col min="8" max="8" width="4.140625" style="26" customWidth="1"/>
    <col min="9" max="9" width="11.140625" style="26" customWidth="1"/>
    <col min="10" max="10" width="3.140625" style="26" customWidth="1"/>
    <col min="11" max="11" width="12" style="26" customWidth="1"/>
    <col min="12" max="12" width="9.140625" style="26"/>
    <col min="13" max="13" width="23.28515625" style="26" customWidth="1"/>
    <col min="14" max="14" width="9.140625" style="26"/>
    <col min="15" max="15" width="12" style="26" customWidth="1"/>
    <col min="16" max="16" width="9.140625" style="26"/>
    <col min="17" max="17" width="12.28515625" style="26" customWidth="1"/>
    <col min="18" max="16384" width="9.140625" style="26"/>
  </cols>
  <sheetData>
    <row r="10" spans="1:11" ht="16.5" customHeight="1" x14ac:dyDescent="0.2"/>
    <row r="11" spans="1:11" ht="13.5" customHeight="1" x14ac:dyDescent="0.2">
      <c r="A11" s="247"/>
      <c r="B11" s="247"/>
    </row>
    <row r="12" spans="1:11" ht="29.25" customHeight="1" x14ac:dyDescent="0.2">
      <c r="A12" s="237" t="s">
        <v>100</v>
      </c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spans="1:11" ht="15" customHeight="1" x14ac:dyDescent="0.2">
      <c r="A13" s="239" t="s">
        <v>56</v>
      </c>
      <c r="B13" s="243"/>
      <c r="C13" s="49" t="s">
        <v>57</v>
      </c>
      <c r="D13" s="50" t="s">
        <v>58</v>
      </c>
      <c r="E13" s="244" t="s">
        <v>101</v>
      </c>
      <c r="F13" s="244"/>
      <c r="G13" s="244"/>
      <c r="H13" s="244" t="s">
        <v>59</v>
      </c>
      <c r="I13" s="244"/>
      <c r="J13" s="244" t="s">
        <v>60</v>
      </c>
      <c r="K13" s="240"/>
    </row>
    <row r="14" spans="1:11" ht="15" customHeight="1" x14ac:dyDescent="0.2">
      <c r="A14" s="245" t="s">
        <v>10</v>
      </c>
      <c r="B14" s="245"/>
      <c r="C14" s="46">
        <f>VLOOKUP(A14,ГОРОДА35[],2,0)</f>
        <v>170000</v>
      </c>
      <c r="D14" s="47">
        <f>VLOOKUP(A14,ГОРОДА35[],3,0)</f>
        <v>1.2E-2</v>
      </c>
      <c r="E14" s="191">
        <v>1</v>
      </c>
      <c r="F14" s="191"/>
      <c r="G14" s="191"/>
      <c r="H14" s="246">
        <f>VLOOKUP(A14,ГОРОДА35[],4,0)</f>
        <v>0.2</v>
      </c>
      <c r="I14" s="246"/>
      <c r="J14" s="192">
        <f t="shared" ref="J14:J19" si="0">C14*D14*E14</f>
        <v>2040</v>
      </c>
      <c r="K14" s="192"/>
    </row>
    <row r="15" spans="1:11" ht="15" customHeight="1" x14ac:dyDescent="0.2">
      <c r="A15" s="93" t="s">
        <v>11</v>
      </c>
      <c r="B15" s="93"/>
      <c r="C15" s="46">
        <f>VLOOKUP(A15,ГОРОДА35[],2,0)</f>
        <v>340000</v>
      </c>
      <c r="D15" s="47">
        <f>VLOOKUP(A15,ГОРОДА35[],3,0)</f>
        <v>1.4E-2</v>
      </c>
      <c r="E15" s="191">
        <v>1</v>
      </c>
      <c r="F15" s="191"/>
      <c r="G15" s="191"/>
      <c r="H15" s="246">
        <f>VLOOKUP(A15,ГОРОДА35[],4,0)</f>
        <v>0.2</v>
      </c>
      <c r="I15" s="246"/>
      <c r="J15" s="192">
        <f t="shared" si="0"/>
        <v>4760</v>
      </c>
      <c r="K15" s="192"/>
    </row>
    <row r="16" spans="1:11" ht="15" customHeight="1" x14ac:dyDescent="0.2">
      <c r="A16" s="93" t="s">
        <v>12</v>
      </c>
      <c r="B16" s="93"/>
      <c r="C16" s="46">
        <f>VLOOKUP(A16,ГОРОДА35[],2,0)</f>
        <v>360000</v>
      </c>
      <c r="D16" s="47">
        <f>VLOOKUP(A16,ГОРОДА35[],3,0)</f>
        <v>1.7999999999999999E-2</v>
      </c>
      <c r="E16" s="191">
        <v>1</v>
      </c>
      <c r="F16" s="191"/>
      <c r="G16" s="191"/>
      <c r="H16" s="246">
        <f>VLOOKUP(A16,ГОРОДА35[],4,0)</f>
        <v>0.2</v>
      </c>
      <c r="I16" s="246"/>
      <c r="J16" s="192">
        <f t="shared" si="0"/>
        <v>6479.9999999999991</v>
      </c>
      <c r="K16" s="192"/>
    </row>
    <row r="17" spans="1:11" ht="15" customHeight="1" x14ac:dyDescent="0.2">
      <c r="A17" s="93" t="s">
        <v>13</v>
      </c>
      <c r="B17" s="93"/>
      <c r="C17" s="46">
        <f>VLOOKUP(A17,ГОРОДА35[],2,0)</f>
        <v>353000</v>
      </c>
      <c r="D17" s="47">
        <f>VLOOKUP(A17,ГОРОДА35[],3,0)</f>
        <v>1.6E-2</v>
      </c>
      <c r="E17" s="191">
        <v>1</v>
      </c>
      <c r="F17" s="191"/>
      <c r="G17" s="191"/>
      <c r="H17" s="246">
        <f>VLOOKUP(A17,ГОРОДА35[],4,0)</f>
        <v>0.2</v>
      </c>
      <c r="I17" s="246"/>
      <c r="J17" s="192">
        <f t="shared" si="0"/>
        <v>5648</v>
      </c>
      <c r="K17" s="192"/>
    </row>
    <row r="18" spans="1:11" ht="15" customHeight="1" x14ac:dyDescent="0.2">
      <c r="A18" s="93" t="s">
        <v>24</v>
      </c>
      <c r="B18" s="93"/>
      <c r="C18" s="46">
        <f>VLOOKUP(A18,ГОРОДА35[],2,0)</f>
        <v>205000</v>
      </c>
      <c r="D18" s="47">
        <f>VLOOKUP(A18,ГОРОДА35[],3,0)</f>
        <v>1.2E-2</v>
      </c>
      <c r="E18" s="191">
        <v>1</v>
      </c>
      <c r="F18" s="191"/>
      <c r="G18" s="191"/>
      <c r="H18" s="246">
        <f>VLOOKUP(A18,ГОРОДА35[],4,0)</f>
        <v>0.2</v>
      </c>
      <c r="I18" s="246"/>
      <c r="J18" s="192">
        <f t="shared" si="0"/>
        <v>2460</v>
      </c>
      <c r="K18" s="192"/>
    </row>
    <row r="19" spans="1:11" ht="15" customHeight="1" x14ac:dyDescent="0.2">
      <c r="A19" s="93" t="s">
        <v>79</v>
      </c>
      <c r="B19" s="93"/>
      <c r="C19" s="46">
        <f>VLOOKUP(A19,ГОРОДА35[],2,0)</f>
        <v>1996000</v>
      </c>
      <c r="D19" s="47">
        <f>VLOOKUP(A19,ГОРОДА35[],3,0)</f>
        <v>2.1999999999999999E-2</v>
      </c>
      <c r="E19" s="191">
        <v>0</v>
      </c>
      <c r="F19" s="191"/>
      <c r="G19" s="191"/>
      <c r="H19" s="246">
        <f>VLOOKUP(A19,ГОРОДА35[],4,0)</f>
        <v>0.4</v>
      </c>
      <c r="I19" s="246"/>
      <c r="J19" s="192">
        <f t="shared" si="0"/>
        <v>0</v>
      </c>
      <c r="K19" s="192"/>
    </row>
    <row r="20" spans="1:11" ht="15" customHeight="1" x14ac:dyDescent="0.2">
      <c r="A20" s="248"/>
      <c r="B20" s="248"/>
      <c r="C20" s="27"/>
      <c r="D20" s="27"/>
      <c r="E20" s="254">
        <f>SUM(E14:G19)</f>
        <v>5</v>
      </c>
      <c r="F20" s="253"/>
      <c r="G20" s="253"/>
      <c r="H20" s="295">
        <f>(H14*J14+H15*J15+H16*J16+H17*J17+H18*J18+H19*J19)/J20</f>
        <v>0.2</v>
      </c>
      <c r="I20" s="295"/>
      <c r="J20" s="254">
        <f>SUM(J14:K19)</f>
        <v>21388</v>
      </c>
      <c r="K20" s="253"/>
    </row>
    <row r="21" spans="1:11" ht="15" customHeight="1" x14ac:dyDescent="0.2">
      <c r="A21" s="251" t="s">
        <v>61</v>
      </c>
      <c r="B21" s="251"/>
      <c r="C21" s="28" t="s">
        <v>62</v>
      </c>
      <c r="D21" s="51" t="s">
        <v>63</v>
      </c>
      <c r="E21" s="225" t="s">
        <v>64</v>
      </c>
      <c r="F21" s="226"/>
      <c r="G21" s="252"/>
      <c r="H21" s="228" t="s">
        <v>102</v>
      </c>
      <c r="I21" s="228"/>
      <c r="J21" s="228"/>
      <c r="K21" s="228"/>
    </row>
    <row r="22" spans="1:11" ht="15" customHeight="1" x14ac:dyDescent="0.2">
      <c r="A22" s="248"/>
      <c r="B22" s="248"/>
      <c r="C22" s="52">
        <v>50</v>
      </c>
      <c r="D22" s="53">
        <v>0.3</v>
      </c>
      <c r="E22" s="249">
        <v>0.04</v>
      </c>
      <c r="F22" s="249"/>
      <c r="G22" s="249"/>
      <c r="H22" s="250">
        <v>2</v>
      </c>
      <c r="I22" s="250"/>
      <c r="J22" s="54" t="s">
        <v>67</v>
      </c>
      <c r="K22" s="54"/>
    </row>
    <row r="23" spans="1:11" ht="15" customHeight="1" x14ac:dyDescent="0.2">
      <c r="A23" s="251" t="s">
        <v>155</v>
      </c>
      <c r="B23" s="251"/>
      <c r="C23" s="28" t="s">
        <v>156</v>
      </c>
      <c r="D23" s="98" t="s">
        <v>157</v>
      </c>
      <c r="E23" s="225" t="s">
        <v>158</v>
      </c>
      <c r="F23" s="226"/>
      <c r="G23" s="252"/>
      <c r="H23" s="228" t="s">
        <v>159</v>
      </c>
      <c r="I23" s="228"/>
      <c r="J23" s="228"/>
      <c r="K23" s="228"/>
    </row>
    <row r="24" spans="1:11" ht="15" customHeight="1" x14ac:dyDescent="0.2">
      <c r="A24" s="248"/>
      <c r="B24" s="248"/>
      <c r="C24" s="190">
        <f>J20*H22</f>
        <v>42776</v>
      </c>
      <c r="D24" s="185">
        <v>0.09</v>
      </c>
      <c r="E24" s="293">
        <v>0.01</v>
      </c>
      <c r="F24" s="293"/>
      <c r="G24" s="293"/>
      <c r="H24" s="293">
        <v>0.9</v>
      </c>
      <c r="I24" s="293"/>
      <c r="J24" s="293"/>
      <c r="K24" s="293"/>
    </row>
    <row r="25" spans="1:11" ht="15" customHeight="1" x14ac:dyDescent="0.2">
      <c r="A25" s="248"/>
      <c r="B25" s="248"/>
      <c r="C25" s="190"/>
      <c r="D25" s="46">
        <f>C24*D24</f>
        <v>3849.8399999999997</v>
      </c>
      <c r="E25" s="190">
        <f>C24*E24</f>
        <v>427.76</v>
      </c>
      <c r="F25" s="190"/>
      <c r="G25" s="190"/>
      <c r="H25" s="190">
        <f>C24*H24</f>
        <v>38498.400000000001</v>
      </c>
      <c r="I25" s="190"/>
      <c r="J25" s="190"/>
      <c r="K25" s="190"/>
    </row>
    <row r="26" spans="1:11" ht="29.25" customHeight="1" x14ac:dyDescent="0.2">
      <c r="A26" s="237" t="s">
        <v>103</v>
      </c>
      <c r="B26" s="237"/>
      <c r="C26" s="237"/>
      <c r="D26" s="292" t="s">
        <v>201</v>
      </c>
      <c r="E26" s="217"/>
      <c r="F26" s="217"/>
      <c r="G26" s="262" t="s">
        <v>106</v>
      </c>
      <c r="H26" s="263"/>
      <c r="I26" s="219" t="s">
        <v>161</v>
      </c>
      <c r="J26" s="219"/>
      <c r="K26" s="219"/>
    </row>
    <row r="27" spans="1:11" ht="20.100000000000001" customHeight="1" x14ac:dyDescent="0.2">
      <c r="A27" s="251" t="s">
        <v>68</v>
      </c>
      <c r="B27" s="251"/>
      <c r="C27" s="57"/>
      <c r="D27" s="256">
        <f>D29*$C$22</f>
        <v>8555.1999999999989</v>
      </c>
      <c r="E27" s="256"/>
      <c r="F27" s="256"/>
      <c r="G27" s="61" t="s">
        <v>108</v>
      </c>
      <c r="H27" s="99">
        <f>I27/D27</f>
        <v>9.0000000000000018</v>
      </c>
      <c r="I27" s="256">
        <f>I29*C22</f>
        <v>76996.800000000003</v>
      </c>
      <c r="J27" s="256"/>
      <c r="K27" s="256"/>
    </row>
    <row r="28" spans="1:11" ht="20.100000000000001" customHeight="1" x14ac:dyDescent="0.2">
      <c r="A28" s="251" t="s">
        <v>104</v>
      </c>
      <c r="B28" s="251"/>
      <c r="C28" s="57"/>
      <c r="D28" s="222">
        <f>(D25+E25)</f>
        <v>4277.5999999999995</v>
      </c>
      <c r="E28" s="222"/>
      <c r="F28" s="222"/>
      <c r="G28" s="61" t="s">
        <v>108</v>
      </c>
      <c r="H28" s="99">
        <f>I28/D28</f>
        <v>9.0000000000000018</v>
      </c>
      <c r="I28" s="222">
        <f>H25</f>
        <v>38498.400000000001</v>
      </c>
      <c r="J28" s="222"/>
      <c r="K28" s="222"/>
    </row>
    <row r="29" spans="1:11" ht="20.100000000000001" customHeight="1" x14ac:dyDescent="0.2">
      <c r="A29" s="286" t="s">
        <v>69</v>
      </c>
      <c r="B29" s="286"/>
      <c r="C29" s="29"/>
      <c r="D29" s="291">
        <f>D28*$E$22</f>
        <v>171.10399999999998</v>
      </c>
      <c r="E29" s="291"/>
      <c r="F29" s="291"/>
      <c r="G29" s="61" t="s">
        <v>108</v>
      </c>
      <c r="H29" s="100">
        <f>I29/D29</f>
        <v>9.0000000000000018</v>
      </c>
      <c r="I29" s="291">
        <f>I28*$E$22</f>
        <v>1539.9360000000001</v>
      </c>
      <c r="J29" s="291"/>
      <c r="K29" s="291"/>
    </row>
    <row r="30" spans="1:11" ht="20.100000000000001" customHeight="1" x14ac:dyDescent="0.2">
      <c r="A30" s="288" t="s">
        <v>70</v>
      </c>
      <c r="B30" s="288"/>
      <c r="C30" s="58"/>
      <c r="D30" s="265">
        <f>D27*$D$22</f>
        <v>2566.5599999999995</v>
      </c>
      <c r="E30" s="265"/>
      <c r="F30" s="265"/>
      <c r="G30" s="61" t="s">
        <v>108</v>
      </c>
      <c r="H30" s="99">
        <f>I30/D30</f>
        <v>9.0000000000000018</v>
      </c>
      <c r="I30" s="265">
        <f>I27*D22</f>
        <v>23099.040000000001</v>
      </c>
      <c r="J30" s="265"/>
      <c r="K30" s="265"/>
    </row>
    <row r="31" spans="1:11" ht="29.25" customHeight="1" x14ac:dyDescent="0.2">
      <c r="A31" s="48" t="s">
        <v>162</v>
      </c>
      <c r="B31" s="55">
        <f>H22</f>
        <v>2</v>
      </c>
      <c r="C31" s="56" t="s">
        <v>67</v>
      </c>
      <c r="D31" s="217" t="s">
        <v>201</v>
      </c>
      <c r="E31" s="217"/>
      <c r="F31" s="217"/>
      <c r="G31" s="262" t="s">
        <v>106</v>
      </c>
      <c r="H31" s="263"/>
      <c r="I31" s="219" t="s">
        <v>161</v>
      </c>
      <c r="J31" s="219"/>
      <c r="K31" s="219"/>
    </row>
    <row r="32" spans="1:11" ht="20.100000000000001" customHeight="1" x14ac:dyDescent="0.2">
      <c r="A32" s="251" t="s">
        <v>75</v>
      </c>
      <c r="B32" s="251"/>
      <c r="C32" s="60" t="s">
        <v>107</v>
      </c>
      <c r="D32" s="268">
        <f>(D33+D34)*12*H22*E20+D35*E20</f>
        <v>2200</v>
      </c>
      <c r="E32" s="268"/>
      <c r="F32" s="268"/>
      <c r="G32" s="61" t="s">
        <v>108</v>
      </c>
      <c r="H32" s="62">
        <f>D32/I32</f>
        <v>1</v>
      </c>
      <c r="I32" s="269">
        <f>I35*E20+I33*12*H22*E20+I34*12*H22*E20</f>
        <v>2200</v>
      </c>
      <c r="J32" s="269"/>
      <c r="K32" s="269"/>
    </row>
    <row r="33" spans="1:11" ht="15" customHeight="1" x14ac:dyDescent="0.2">
      <c r="A33" s="251"/>
      <c r="B33" s="251"/>
      <c r="C33" s="32" t="s">
        <v>166</v>
      </c>
      <c r="D33" s="266">
        <v>0</v>
      </c>
      <c r="E33" s="266"/>
      <c r="F33" s="266"/>
      <c r="G33" s="267"/>
      <c r="H33" s="267"/>
      <c r="I33" s="266">
        <v>0</v>
      </c>
      <c r="J33" s="266"/>
      <c r="K33" s="266"/>
    </row>
    <row r="34" spans="1:11" ht="15" customHeight="1" x14ac:dyDescent="0.2">
      <c r="A34" s="251"/>
      <c r="B34" s="251"/>
      <c r="C34" s="32" t="s">
        <v>164</v>
      </c>
      <c r="D34" s="266">
        <v>0</v>
      </c>
      <c r="E34" s="266"/>
      <c r="F34" s="266"/>
      <c r="G34" s="267"/>
      <c r="H34" s="267"/>
      <c r="I34" s="266">
        <v>0</v>
      </c>
      <c r="J34" s="266"/>
      <c r="K34" s="266"/>
    </row>
    <row r="35" spans="1:11" ht="15" customHeight="1" x14ac:dyDescent="0.2">
      <c r="A35" s="96"/>
      <c r="B35" s="96"/>
      <c r="C35" s="101" t="s">
        <v>165</v>
      </c>
      <c r="D35" s="266">
        <v>440</v>
      </c>
      <c r="E35" s="266"/>
      <c r="F35" s="266"/>
      <c r="G35" s="97"/>
      <c r="H35" s="97"/>
      <c r="I35" s="266">
        <v>440</v>
      </c>
      <c r="J35" s="266"/>
      <c r="K35" s="266"/>
    </row>
    <row r="36" spans="1:11" ht="20.100000000000001" customHeight="1" x14ac:dyDescent="0.2">
      <c r="A36" s="251" t="s">
        <v>111</v>
      </c>
      <c r="B36" s="251"/>
      <c r="C36" s="60" t="s">
        <v>98</v>
      </c>
      <c r="D36" s="63">
        <f>D32/(D30/(360*$H$22))/30</f>
        <v>20.572283523471111</v>
      </c>
      <c r="E36" s="275" t="s">
        <v>15</v>
      </c>
      <c r="F36" s="275"/>
      <c r="G36" s="61" t="s">
        <v>108</v>
      </c>
      <c r="H36" s="62">
        <f>D36/I36</f>
        <v>9.0000000000000036</v>
      </c>
      <c r="I36" s="63">
        <f>I32/(I30/(360*$H$22))/30</f>
        <v>2.2858092803856782</v>
      </c>
      <c r="J36" s="275" t="s">
        <v>15</v>
      </c>
      <c r="K36" s="275"/>
    </row>
    <row r="37" spans="1:11" ht="15" customHeight="1" x14ac:dyDescent="0.2">
      <c r="A37" s="251"/>
      <c r="B37" s="251"/>
      <c r="C37" s="60" t="s">
        <v>76</v>
      </c>
      <c r="D37" s="270">
        <f>(D30-D32)/D32</f>
        <v>0.16661818181818158</v>
      </c>
      <c r="E37" s="270"/>
      <c r="F37" s="270"/>
      <c r="G37" s="61" t="s">
        <v>108</v>
      </c>
      <c r="H37" s="62">
        <f>I37/D37</f>
        <v>57.013967699694547</v>
      </c>
      <c r="I37" s="270">
        <f>(I30-I32)/I32</f>
        <v>9.4995636363636375</v>
      </c>
      <c r="J37" s="270"/>
      <c r="K37" s="270"/>
    </row>
    <row r="38" spans="1:11" ht="20.100000000000001" customHeight="1" x14ac:dyDescent="0.2">
      <c r="A38" s="286" t="s">
        <v>73</v>
      </c>
      <c r="B38" s="286"/>
      <c r="C38" s="60" t="s">
        <v>112</v>
      </c>
      <c r="D38" s="287">
        <f>D32/D29</f>
        <v>12.857677202169443</v>
      </c>
      <c r="E38" s="287"/>
      <c r="F38" s="287"/>
      <c r="G38" s="61" t="s">
        <v>108</v>
      </c>
      <c r="H38" s="62">
        <f>D38/I38</f>
        <v>9.0000000000000018</v>
      </c>
      <c r="I38" s="294">
        <f>I32/I29</f>
        <v>1.4286308002410488</v>
      </c>
      <c r="J38" s="294"/>
      <c r="K38" s="294"/>
    </row>
    <row r="39" spans="1:11" ht="15" customHeight="1" x14ac:dyDescent="0.2">
      <c r="A39" s="251"/>
      <c r="B39" s="251"/>
      <c r="C39" s="66" t="s">
        <v>71</v>
      </c>
      <c r="D39" s="67">
        <f>D37</f>
        <v>0.16661818181818158</v>
      </c>
      <c r="E39" s="59" t="s">
        <v>72</v>
      </c>
      <c r="F39" s="68">
        <v>1</v>
      </c>
      <c r="G39" s="61" t="s">
        <v>108</v>
      </c>
      <c r="H39" s="68">
        <f>I39/D39</f>
        <v>57.013967699694547</v>
      </c>
      <c r="I39" s="69">
        <f>I37</f>
        <v>9.4995636363636375</v>
      </c>
      <c r="J39" s="70" t="s">
        <v>72</v>
      </c>
      <c r="K39" s="71">
        <v>1</v>
      </c>
    </row>
    <row r="40" spans="1:11" ht="20.100000000000001" customHeight="1" x14ac:dyDescent="0.2">
      <c r="A40" s="288" t="s">
        <v>113</v>
      </c>
      <c r="B40" s="288"/>
      <c r="C40" s="276" t="s">
        <v>114</v>
      </c>
      <c r="D40" s="277">
        <f>D32/D27</f>
        <v>0.25715354404338886</v>
      </c>
      <c r="E40" s="277"/>
      <c r="F40" s="277"/>
      <c r="G40" s="61" t="s">
        <v>108</v>
      </c>
      <c r="H40" s="62">
        <f>D40/I40</f>
        <v>9.0000000000000018</v>
      </c>
      <c r="I40" s="199">
        <f>I32/I27</f>
        <v>2.8572616004820979E-2</v>
      </c>
      <c r="J40" s="199"/>
      <c r="K40" s="199"/>
    </row>
    <row r="41" spans="1:11" ht="15" customHeight="1" x14ac:dyDescent="0.2">
      <c r="A41" s="248"/>
      <c r="B41" s="248"/>
      <c r="C41" s="276"/>
      <c r="D41" s="279"/>
      <c r="E41" s="279"/>
      <c r="F41" s="279"/>
      <c r="G41" s="279"/>
      <c r="H41" s="279"/>
      <c r="I41" s="279"/>
      <c r="J41" s="279"/>
      <c r="K41" s="279"/>
    </row>
    <row r="42" spans="1:11" ht="30" customHeight="1" x14ac:dyDescent="0.2">
      <c r="A42" s="237" t="s">
        <v>115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</row>
    <row r="43" spans="1:11" ht="15" customHeight="1" x14ac:dyDescent="0.2">
      <c r="A43" s="72"/>
      <c r="B43" s="34"/>
      <c r="C43" s="187" t="s">
        <v>116</v>
      </c>
      <c r="D43" s="187"/>
      <c r="E43" s="187"/>
      <c r="F43" s="187"/>
      <c r="G43" s="187" t="s">
        <v>37</v>
      </c>
      <c r="H43" s="187"/>
      <c r="I43" s="187"/>
      <c r="J43" s="187"/>
      <c r="K43" s="187"/>
    </row>
    <row r="44" spans="1:11" ht="15" customHeight="1" x14ac:dyDescent="0.2">
      <c r="A44" s="30"/>
      <c r="B44" s="30"/>
      <c r="C44" s="187" t="s">
        <v>154</v>
      </c>
      <c r="D44" s="187"/>
      <c r="E44" s="187"/>
      <c r="F44" s="187"/>
      <c r="G44" s="187" t="s">
        <v>38</v>
      </c>
      <c r="H44" s="187"/>
      <c r="I44" s="187"/>
      <c r="J44" s="187"/>
      <c r="K44" s="187"/>
    </row>
    <row r="45" spans="1:11" ht="15.75" customHeight="1" x14ac:dyDescent="0.2">
      <c r="A45" s="30"/>
      <c r="B45" s="30"/>
      <c r="C45" s="187" t="s">
        <v>34</v>
      </c>
      <c r="D45" s="187"/>
      <c r="E45" s="187"/>
      <c r="F45" s="187"/>
      <c r="G45" s="187" t="s">
        <v>39</v>
      </c>
      <c r="H45" s="187"/>
      <c r="I45" s="187"/>
      <c r="J45" s="187"/>
      <c r="K45" s="187"/>
    </row>
    <row r="46" spans="1:11" ht="15.75" x14ac:dyDescent="0.2">
      <c r="A46" s="30"/>
      <c r="B46" s="30"/>
      <c r="C46" s="187" t="s">
        <v>35</v>
      </c>
      <c r="D46" s="187"/>
      <c r="E46" s="187"/>
      <c r="F46" s="187"/>
      <c r="G46" s="187" t="s">
        <v>40</v>
      </c>
      <c r="H46" s="187"/>
      <c r="I46" s="187"/>
      <c r="J46" s="187"/>
      <c r="K46" s="187"/>
    </row>
    <row r="47" spans="1:11" x14ac:dyDescent="0.2">
      <c r="C47" s="187" t="s">
        <v>36</v>
      </c>
      <c r="D47" s="187"/>
      <c r="E47" s="187"/>
      <c r="F47" s="187"/>
      <c r="G47" s="188"/>
      <c r="H47" s="188"/>
      <c r="I47" s="188"/>
      <c r="J47" s="188"/>
      <c r="K47" s="188"/>
    </row>
    <row r="48" spans="1:11" x14ac:dyDescent="0.2">
      <c r="D48" s="35"/>
      <c r="E48" s="35"/>
      <c r="F48" s="35"/>
      <c r="G48" s="35"/>
      <c r="H48" s="35"/>
      <c r="I48" s="35"/>
      <c r="J48" s="35"/>
      <c r="K48" s="35"/>
    </row>
    <row r="49" spans="4:17" x14ac:dyDescent="0.2">
      <c r="D49" s="35"/>
      <c r="E49" s="35"/>
      <c r="F49" s="35"/>
      <c r="G49" s="35"/>
      <c r="H49" s="35"/>
      <c r="I49" s="35"/>
      <c r="J49" s="35"/>
      <c r="K49" s="35"/>
    </row>
    <row r="50" spans="4:17" x14ac:dyDescent="0.2">
      <c r="D50" s="35"/>
      <c r="E50" s="35"/>
      <c r="F50" s="35"/>
      <c r="G50" s="35"/>
      <c r="H50" s="35"/>
      <c r="I50" s="35"/>
      <c r="J50" s="35"/>
      <c r="K50" s="35"/>
    </row>
    <row r="51" spans="4:17" x14ac:dyDescent="0.2">
      <c r="D51" s="35"/>
      <c r="E51" s="35"/>
      <c r="F51" s="35"/>
      <c r="G51" s="35"/>
      <c r="H51" s="35"/>
      <c r="I51" s="35"/>
      <c r="J51" s="35"/>
      <c r="K51" s="35"/>
    </row>
    <row r="52" spans="4:17" x14ac:dyDescent="0.2">
      <c r="D52" s="35"/>
      <c r="E52" s="35"/>
      <c r="F52" s="35"/>
      <c r="G52" s="35"/>
      <c r="H52" s="35"/>
      <c r="I52" s="35"/>
      <c r="J52" s="35"/>
      <c r="K52" s="35"/>
    </row>
    <row r="53" spans="4:17" x14ac:dyDescent="0.2">
      <c r="D53" s="35"/>
      <c r="E53" s="35"/>
      <c r="F53" s="35"/>
      <c r="G53" s="35"/>
      <c r="H53" s="35"/>
      <c r="I53" s="35"/>
      <c r="J53" s="35"/>
      <c r="K53" s="35"/>
    </row>
    <row r="54" spans="4:17" x14ac:dyDescent="0.2">
      <c r="D54" s="35"/>
      <c r="E54" s="35"/>
      <c r="F54" s="35"/>
      <c r="G54" s="35"/>
      <c r="H54" s="35"/>
      <c r="I54" s="35"/>
      <c r="J54" s="35"/>
      <c r="K54" s="35"/>
    </row>
    <row r="55" spans="4:17" x14ac:dyDescent="0.2">
      <c r="D55" s="35"/>
      <c r="E55" s="35"/>
      <c r="F55" s="35"/>
      <c r="G55" s="35"/>
      <c r="H55" s="35"/>
      <c r="I55" s="35"/>
      <c r="J55" s="35"/>
      <c r="K55" s="35"/>
    </row>
    <row r="56" spans="4:17" x14ac:dyDescent="0.2">
      <c r="D56" s="35"/>
      <c r="E56" s="35"/>
      <c r="F56" s="35"/>
      <c r="G56" s="35"/>
      <c r="H56" s="35"/>
      <c r="I56" s="35"/>
      <c r="J56" s="35"/>
      <c r="K56" s="35"/>
    </row>
    <row r="57" spans="4:17" x14ac:dyDescent="0.2">
      <c r="D57" s="35"/>
      <c r="E57" s="35"/>
      <c r="F57" s="35"/>
      <c r="G57" s="35"/>
      <c r="H57" s="35"/>
      <c r="I57" s="35"/>
      <c r="J57" s="35"/>
      <c r="K57" s="35"/>
    </row>
    <row r="58" spans="4:17" x14ac:dyDescent="0.2">
      <c r="D58" s="35"/>
      <c r="E58" s="35"/>
      <c r="F58" s="35"/>
      <c r="G58" s="35"/>
      <c r="H58" s="35"/>
      <c r="I58" s="35"/>
      <c r="J58" s="35"/>
      <c r="K58" s="35"/>
    </row>
    <row r="59" spans="4:17" x14ac:dyDescent="0.2">
      <c r="D59" s="35"/>
      <c r="E59" s="35"/>
      <c r="F59" s="35"/>
      <c r="G59" s="35"/>
      <c r="H59" s="35"/>
      <c r="I59" s="35"/>
      <c r="J59" s="35"/>
      <c r="K59" s="35"/>
    </row>
    <row r="60" spans="4:17" ht="22.5" x14ac:dyDescent="0.2">
      <c r="D60" s="35"/>
      <c r="E60" s="35"/>
      <c r="F60" s="35"/>
      <c r="G60" s="35"/>
      <c r="H60" s="35"/>
      <c r="I60" s="35"/>
      <c r="J60" s="35"/>
      <c r="K60" s="35"/>
      <c r="M60" s="36" t="s">
        <v>77</v>
      </c>
      <c r="N60" s="36" t="s">
        <v>57</v>
      </c>
      <c r="O60" s="37" t="s">
        <v>99</v>
      </c>
      <c r="P60" s="37" t="s">
        <v>59</v>
      </c>
      <c r="Q60" s="37" t="s">
        <v>78</v>
      </c>
    </row>
    <row r="61" spans="4:17" ht="15.75" x14ac:dyDescent="0.25">
      <c r="D61" s="35"/>
      <c r="E61" s="35"/>
      <c r="F61" s="35"/>
      <c r="G61" s="35"/>
      <c r="H61" s="35"/>
      <c r="I61" s="35"/>
      <c r="J61" s="35"/>
      <c r="K61" s="35"/>
      <c r="M61" s="38" t="s">
        <v>10</v>
      </c>
      <c r="N61" s="39">
        <v>170000</v>
      </c>
      <c r="O61" s="45">
        <v>1.2E-2</v>
      </c>
      <c r="P61" s="40">
        <v>0.2</v>
      </c>
      <c r="Q61" s="41">
        <v>440</v>
      </c>
    </row>
    <row r="62" spans="4:17" ht="15" x14ac:dyDescent="0.2">
      <c r="D62" s="35"/>
      <c r="E62" s="35"/>
      <c r="F62" s="35"/>
      <c r="G62" s="35"/>
      <c r="H62" s="35"/>
      <c r="I62" s="35"/>
      <c r="J62" s="35"/>
      <c r="K62" s="35"/>
      <c r="M62" s="42" t="s">
        <v>79</v>
      </c>
      <c r="N62" s="39">
        <v>1996000</v>
      </c>
      <c r="O62" s="45">
        <v>2.1999999999999999E-2</v>
      </c>
      <c r="P62" s="40">
        <v>0.4</v>
      </c>
      <c r="Q62" s="41">
        <v>1320</v>
      </c>
    </row>
    <row r="63" spans="4:17" ht="15" x14ac:dyDescent="0.2">
      <c r="D63" s="35"/>
      <c r="E63" s="35"/>
      <c r="F63" s="35"/>
      <c r="G63" s="35"/>
      <c r="H63" s="35"/>
      <c r="I63" s="35"/>
      <c r="J63" s="35"/>
      <c r="K63" s="35"/>
      <c r="M63" s="43" t="s">
        <v>11</v>
      </c>
      <c r="N63" s="39">
        <v>340000</v>
      </c>
      <c r="O63" s="45">
        <v>1.4E-2</v>
      </c>
      <c r="P63" s="40">
        <v>0.2</v>
      </c>
      <c r="Q63" s="41">
        <v>440</v>
      </c>
    </row>
    <row r="64" spans="4:17" ht="15" x14ac:dyDescent="0.2">
      <c r="D64" s="35"/>
      <c r="E64" s="35"/>
      <c r="F64" s="35"/>
      <c r="G64" s="35"/>
      <c r="H64" s="35"/>
      <c r="I64" s="35"/>
      <c r="J64" s="35"/>
      <c r="K64" s="35"/>
      <c r="M64" s="43" t="s">
        <v>80</v>
      </c>
      <c r="N64" s="39">
        <v>357000</v>
      </c>
      <c r="O64" s="45">
        <v>5.0000000000000001E-3</v>
      </c>
      <c r="P64" s="40">
        <v>0.2</v>
      </c>
      <c r="Q64" s="41">
        <v>440</v>
      </c>
    </row>
    <row r="65" spans="4:17" ht="15" x14ac:dyDescent="0.2">
      <c r="D65" s="35"/>
      <c r="E65" s="35"/>
      <c r="F65" s="35"/>
      <c r="G65" s="35"/>
      <c r="H65" s="35"/>
      <c r="I65" s="35"/>
      <c r="J65" s="35"/>
      <c r="K65" s="35"/>
      <c r="M65" s="43" t="s">
        <v>12</v>
      </c>
      <c r="N65" s="39">
        <v>360000</v>
      </c>
      <c r="O65" s="45">
        <v>1.7999999999999999E-2</v>
      </c>
      <c r="P65" s="40">
        <v>0.2</v>
      </c>
      <c r="Q65" s="41">
        <v>440</v>
      </c>
    </row>
    <row r="66" spans="4:17" ht="15" x14ac:dyDescent="0.2">
      <c r="D66" s="35"/>
      <c r="E66" s="35"/>
      <c r="F66" s="35"/>
      <c r="G66" s="35"/>
      <c r="H66" s="35"/>
      <c r="I66" s="35"/>
      <c r="J66" s="35"/>
      <c r="K66" s="35"/>
      <c r="M66" s="43" t="s">
        <v>13</v>
      </c>
      <c r="N66" s="39">
        <v>353000</v>
      </c>
      <c r="O66" s="45">
        <v>1.6E-2</v>
      </c>
      <c r="P66" s="40">
        <v>0.2</v>
      </c>
      <c r="Q66" s="41">
        <v>440</v>
      </c>
    </row>
    <row r="67" spans="4:17" ht="15" x14ac:dyDescent="0.2">
      <c r="D67" s="35"/>
      <c r="E67" s="35"/>
      <c r="F67" s="35"/>
      <c r="G67" s="35"/>
      <c r="H67" s="35"/>
      <c r="I67" s="35"/>
      <c r="J67" s="35"/>
      <c r="K67" s="35"/>
      <c r="M67" s="43" t="s">
        <v>24</v>
      </c>
      <c r="N67" s="39">
        <v>205000</v>
      </c>
      <c r="O67" s="45">
        <v>1.2E-2</v>
      </c>
      <c r="P67" s="40">
        <v>0.2</v>
      </c>
      <c r="Q67" s="41">
        <v>440</v>
      </c>
    </row>
    <row r="68" spans="4:17" ht="15" x14ac:dyDescent="0.2">
      <c r="D68" s="35"/>
      <c r="E68" s="35"/>
      <c r="F68" s="35"/>
      <c r="G68" s="35"/>
      <c r="H68" s="35"/>
      <c r="I68" s="35"/>
      <c r="J68" s="35"/>
      <c r="K68" s="35"/>
      <c r="M68" s="43" t="s">
        <v>81</v>
      </c>
      <c r="N68" s="39">
        <v>500000</v>
      </c>
      <c r="O68" s="45">
        <v>1.4999999999999999E-2</v>
      </c>
      <c r="P68" s="40">
        <v>0.2</v>
      </c>
      <c r="Q68" s="41">
        <v>440</v>
      </c>
    </row>
    <row r="69" spans="4:17" ht="15" x14ac:dyDescent="0.2">
      <c r="D69" s="35"/>
      <c r="E69" s="35"/>
      <c r="F69" s="35"/>
      <c r="G69" s="35"/>
      <c r="H69" s="35"/>
      <c r="I69" s="35"/>
      <c r="J69" s="35"/>
      <c r="K69" s="35"/>
      <c r="M69" s="42" t="s">
        <v>82</v>
      </c>
      <c r="N69" s="39">
        <v>13000000</v>
      </c>
      <c r="O69" s="45">
        <v>4.1000000000000002E-2</v>
      </c>
      <c r="P69" s="40">
        <v>4</v>
      </c>
      <c r="Q69" s="41">
        <v>1320</v>
      </c>
    </row>
    <row r="70" spans="4:17" ht="15" x14ac:dyDescent="0.2">
      <c r="D70" s="35"/>
      <c r="E70" s="35"/>
      <c r="F70" s="35"/>
      <c r="G70" s="35"/>
      <c r="H70" s="35"/>
      <c r="I70" s="35"/>
      <c r="J70" s="35"/>
      <c r="K70" s="35"/>
      <c r="M70" s="43" t="s">
        <v>83</v>
      </c>
      <c r="N70" s="39">
        <v>5590000</v>
      </c>
      <c r="O70" s="45">
        <v>5.5E-2</v>
      </c>
      <c r="P70" s="40">
        <v>2</v>
      </c>
      <c r="Q70" s="41">
        <v>1320</v>
      </c>
    </row>
    <row r="71" spans="4:17" ht="15" x14ac:dyDescent="0.2">
      <c r="D71" s="35"/>
      <c r="E71" s="35"/>
      <c r="F71" s="35"/>
      <c r="G71" s="35"/>
      <c r="H71" s="35"/>
      <c r="I71" s="35"/>
      <c r="J71" s="35"/>
      <c r="K71" s="35"/>
      <c r="M71" s="43" t="s">
        <v>84</v>
      </c>
      <c r="N71" s="39">
        <v>1630000</v>
      </c>
      <c r="O71" s="45">
        <v>2.4E-2</v>
      </c>
      <c r="P71" s="40">
        <v>1</v>
      </c>
      <c r="Q71" s="41">
        <v>1320</v>
      </c>
    </row>
    <row r="72" spans="4:17" ht="15" x14ac:dyDescent="0.2">
      <c r="D72" s="35"/>
      <c r="E72" s="35"/>
      <c r="F72" s="35"/>
      <c r="G72" s="35"/>
      <c r="H72" s="35"/>
      <c r="I72" s="35"/>
      <c r="J72" s="35"/>
      <c r="K72" s="35"/>
      <c r="M72" s="43" t="s">
        <v>85</v>
      </c>
      <c r="N72" s="39">
        <v>1550000</v>
      </c>
      <c r="O72" s="45">
        <v>3.4000000000000002E-2</v>
      </c>
      <c r="P72" s="40">
        <v>1</v>
      </c>
      <c r="Q72" s="41">
        <v>1320</v>
      </c>
    </row>
    <row r="73" spans="4:17" ht="15" x14ac:dyDescent="0.2">
      <c r="D73" s="35"/>
      <c r="E73" s="35"/>
      <c r="F73" s="35"/>
      <c r="G73" s="35"/>
      <c r="H73" s="35"/>
      <c r="I73" s="35"/>
      <c r="J73" s="35"/>
      <c r="K73" s="35"/>
      <c r="M73" s="43" t="s">
        <v>86</v>
      </c>
      <c r="N73" s="39">
        <v>1300000</v>
      </c>
      <c r="O73" s="45">
        <v>2.1999999999999999E-2</v>
      </c>
      <c r="P73" s="40">
        <v>1</v>
      </c>
      <c r="Q73" s="41">
        <v>1320</v>
      </c>
    </row>
    <row r="74" spans="4:17" ht="15" x14ac:dyDescent="0.2">
      <c r="D74" s="35"/>
      <c r="E74" s="35"/>
      <c r="F74" s="35"/>
      <c r="G74" s="35"/>
      <c r="H74" s="35"/>
      <c r="I74" s="35"/>
      <c r="J74" s="35"/>
      <c r="K74" s="35"/>
      <c r="M74" s="43" t="s">
        <v>87</v>
      </c>
      <c r="N74" s="39">
        <v>1100000</v>
      </c>
      <c r="O74" s="45">
        <v>4.2000000000000003E-2</v>
      </c>
      <c r="P74" s="40">
        <v>1</v>
      </c>
      <c r="Q74" s="41">
        <v>1320</v>
      </c>
    </row>
    <row r="75" spans="4:17" ht="15" x14ac:dyDescent="0.2">
      <c r="D75" s="35"/>
      <c r="E75" s="35"/>
      <c r="F75" s="35"/>
      <c r="G75" s="35"/>
      <c r="H75" s="35"/>
      <c r="I75" s="35"/>
      <c r="J75" s="35"/>
      <c r="K75" s="35"/>
      <c r="M75" s="43" t="s">
        <v>88</v>
      </c>
      <c r="N75" s="39">
        <v>1220000</v>
      </c>
      <c r="O75" s="45">
        <v>4.2999999999999997E-2</v>
      </c>
      <c r="P75" s="40">
        <v>1</v>
      </c>
      <c r="Q75" s="41">
        <v>1320</v>
      </c>
    </row>
    <row r="76" spans="4:17" ht="15" x14ac:dyDescent="0.2">
      <c r="D76" s="35"/>
      <c r="E76" s="35"/>
      <c r="F76" s="35"/>
      <c r="G76" s="35"/>
      <c r="H76" s="35"/>
      <c r="I76" s="35"/>
      <c r="J76" s="35"/>
      <c r="K76" s="35"/>
      <c r="M76" s="43" t="s">
        <v>89</v>
      </c>
      <c r="N76" s="39">
        <v>1190000</v>
      </c>
      <c r="O76" s="45">
        <v>2.1999999999999999E-2</v>
      </c>
      <c r="P76" s="40">
        <v>1</v>
      </c>
      <c r="Q76" s="41">
        <v>1320</v>
      </c>
    </row>
    <row r="77" spans="4:17" ht="15" x14ac:dyDescent="0.2">
      <c r="D77" s="35"/>
      <c r="E77" s="35"/>
      <c r="F77" s="35"/>
      <c r="G77" s="35"/>
      <c r="H77" s="35"/>
      <c r="I77" s="35"/>
      <c r="J77" s="35"/>
      <c r="K77" s="35"/>
      <c r="M77" s="43" t="s">
        <v>90</v>
      </c>
      <c r="N77" s="39">
        <v>1190000</v>
      </c>
      <c r="O77" s="45">
        <v>1.4999999999999999E-2</v>
      </c>
      <c r="P77" s="40">
        <v>1</v>
      </c>
      <c r="Q77" s="41">
        <v>1320</v>
      </c>
    </row>
    <row r="78" spans="4:17" ht="15" x14ac:dyDescent="0.2">
      <c r="D78" s="35"/>
      <c r="E78" s="35"/>
      <c r="F78" s="35"/>
      <c r="G78" s="35"/>
      <c r="H78" s="35"/>
      <c r="I78" s="35"/>
      <c r="J78" s="35"/>
      <c r="K78" s="35"/>
      <c r="M78" s="43" t="s">
        <v>91</v>
      </c>
      <c r="N78" s="39">
        <v>1170000</v>
      </c>
      <c r="O78" s="45">
        <v>2.8000000000000001E-2</v>
      </c>
      <c r="P78" s="40">
        <v>1</v>
      </c>
      <c r="Q78" s="41">
        <v>1320</v>
      </c>
    </row>
    <row r="79" spans="4:17" ht="15" x14ac:dyDescent="0.2">
      <c r="D79" s="35"/>
      <c r="E79" s="35"/>
      <c r="F79" s="35"/>
      <c r="G79" s="35"/>
      <c r="H79" s="35"/>
      <c r="I79" s="35"/>
      <c r="J79" s="35"/>
      <c r="K79" s="35"/>
      <c r="M79" s="43" t="s">
        <v>92</v>
      </c>
      <c r="N79" s="39">
        <v>1145000</v>
      </c>
      <c r="O79" s="45">
        <v>2.1000000000000001E-2</v>
      </c>
      <c r="P79" s="40">
        <v>1</v>
      </c>
      <c r="Q79" s="41">
        <v>1320</v>
      </c>
    </row>
    <row r="80" spans="4:17" ht="15" x14ac:dyDescent="0.2">
      <c r="D80" s="35"/>
      <c r="E80" s="35"/>
      <c r="F80" s="35"/>
      <c r="G80" s="35"/>
      <c r="H80" s="35"/>
      <c r="I80" s="35"/>
      <c r="J80" s="35"/>
      <c r="K80" s="35"/>
      <c r="M80" s="43" t="s">
        <v>93</v>
      </c>
      <c r="N80" s="39">
        <v>1140000</v>
      </c>
      <c r="O80" s="45">
        <v>3.2000000000000001E-2</v>
      </c>
      <c r="P80" s="40">
        <v>1</v>
      </c>
      <c r="Q80" s="41">
        <v>1320</v>
      </c>
    </row>
    <row r="81" spans="4:17" ht="15" x14ac:dyDescent="0.2">
      <c r="D81" s="35"/>
      <c r="E81" s="35"/>
      <c r="F81" s="35"/>
      <c r="G81" s="35"/>
      <c r="H81" s="35"/>
      <c r="I81" s="35"/>
      <c r="J81" s="35"/>
      <c r="K81" s="35"/>
      <c r="M81" s="43" t="s">
        <v>94</v>
      </c>
      <c r="N81" s="39">
        <v>1120000</v>
      </c>
      <c r="O81" s="45">
        <v>0.02</v>
      </c>
      <c r="P81" s="40">
        <v>1</v>
      </c>
      <c r="Q81" s="41">
        <v>1320</v>
      </c>
    </row>
    <row r="82" spans="4:17" ht="15" x14ac:dyDescent="0.2">
      <c r="D82" s="35"/>
      <c r="E82" s="35"/>
      <c r="F82" s="35"/>
      <c r="G82" s="35"/>
      <c r="H82" s="35"/>
      <c r="I82" s="35"/>
      <c r="J82" s="35"/>
      <c r="K82" s="35"/>
      <c r="M82" s="43" t="s">
        <v>95</v>
      </c>
      <c r="N82" s="39">
        <v>1060000</v>
      </c>
      <c r="O82" s="45">
        <v>3.3000000000000002E-2</v>
      </c>
      <c r="P82" s="40">
        <v>1</v>
      </c>
      <c r="Q82" s="41">
        <v>1320</v>
      </c>
    </row>
    <row r="83" spans="4:17" ht="15" x14ac:dyDescent="0.2">
      <c r="D83" s="35"/>
      <c r="E83" s="35"/>
      <c r="F83" s="35"/>
      <c r="G83" s="35"/>
      <c r="H83" s="35"/>
      <c r="I83" s="35"/>
      <c r="J83" s="35"/>
      <c r="K83" s="35"/>
      <c r="M83" s="43" t="s">
        <v>96</v>
      </c>
      <c r="N83" s="39">
        <v>1030000</v>
      </c>
      <c r="O83" s="45">
        <v>2.7E-2</v>
      </c>
      <c r="P83" s="40">
        <v>1</v>
      </c>
      <c r="Q83" s="41">
        <v>1320</v>
      </c>
    </row>
    <row r="84" spans="4:17" ht="15" x14ac:dyDescent="0.2">
      <c r="D84" s="35"/>
      <c r="E84" s="35"/>
      <c r="F84" s="35"/>
      <c r="G84" s="35"/>
      <c r="H84" s="35"/>
      <c r="I84" s="35"/>
      <c r="J84" s="35"/>
      <c r="K84" s="35"/>
      <c r="M84" s="43" t="s">
        <v>97</v>
      </c>
      <c r="N84" s="39">
        <v>1050000</v>
      </c>
      <c r="O84" s="45">
        <v>2.5000000000000001E-2</v>
      </c>
      <c r="P84" s="40">
        <v>1</v>
      </c>
      <c r="Q84" s="41">
        <v>1320</v>
      </c>
    </row>
    <row r="85" spans="4:17" x14ac:dyDescent="0.2">
      <c r="D85" s="35"/>
      <c r="E85" s="35"/>
      <c r="F85" s="35"/>
      <c r="G85" s="35"/>
      <c r="H85" s="35"/>
      <c r="I85" s="35"/>
      <c r="J85" s="35"/>
      <c r="K85" s="35"/>
    </row>
    <row r="86" spans="4:17" x14ac:dyDescent="0.2">
      <c r="D86" s="35"/>
      <c r="E86" s="35"/>
      <c r="F86" s="35"/>
      <c r="G86" s="35"/>
      <c r="H86" s="35"/>
      <c r="I86" s="35"/>
      <c r="J86" s="35"/>
      <c r="K86" s="35"/>
    </row>
    <row r="87" spans="4:17" x14ac:dyDescent="0.2">
      <c r="D87" s="35"/>
      <c r="E87" s="35"/>
      <c r="F87" s="35"/>
      <c r="G87" s="35"/>
      <c r="H87" s="35"/>
      <c r="I87" s="35"/>
      <c r="J87" s="35"/>
      <c r="K87" s="35"/>
    </row>
    <row r="88" spans="4:17" x14ac:dyDescent="0.2">
      <c r="D88" s="35"/>
      <c r="E88" s="35"/>
      <c r="F88" s="35"/>
      <c r="G88" s="35"/>
      <c r="H88" s="35"/>
      <c r="I88" s="35"/>
      <c r="J88" s="35"/>
      <c r="K88" s="35"/>
    </row>
    <row r="89" spans="4:17" x14ac:dyDescent="0.2">
      <c r="D89" s="35"/>
      <c r="E89" s="35"/>
      <c r="F89" s="35"/>
      <c r="G89" s="35"/>
      <c r="H89" s="35"/>
      <c r="I89" s="35"/>
      <c r="J89" s="35"/>
      <c r="K89" s="35"/>
    </row>
    <row r="90" spans="4:17" x14ac:dyDescent="0.2">
      <c r="D90" s="35"/>
      <c r="E90" s="35"/>
      <c r="F90" s="35"/>
      <c r="G90" s="35"/>
      <c r="H90" s="35"/>
      <c r="I90" s="35"/>
      <c r="J90" s="35"/>
      <c r="K90" s="35"/>
    </row>
    <row r="91" spans="4:17" x14ac:dyDescent="0.2">
      <c r="D91" s="35"/>
      <c r="E91" s="35"/>
      <c r="F91" s="35"/>
      <c r="G91" s="35"/>
      <c r="H91" s="35"/>
      <c r="I91" s="35"/>
      <c r="J91" s="35"/>
      <c r="K91" s="35"/>
    </row>
    <row r="92" spans="4:17" x14ac:dyDescent="0.2">
      <c r="D92" s="35"/>
      <c r="E92" s="35"/>
      <c r="F92" s="35"/>
      <c r="G92" s="35"/>
      <c r="H92" s="35"/>
      <c r="I92" s="35"/>
      <c r="J92" s="35"/>
      <c r="K92" s="35"/>
    </row>
    <row r="93" spans="4:17" x14ac:dyDescent="0.2">
      <c r="D93" s="35"/>
      <c r="E93" s="35"/>
      <c r="F93" s="35"/>
      <c r="G93" s="35"/>
      <c r="H93" s="35"/>
      <c r="I93" s="35"/>
      <c r="J93" s="35"/>
      <c r="K93" s="35"/>
    </row>
    <row r="94" spans="4:17" x14ac:dyDescent="0.2">
      <c r="D94" s="35"/>
      <c r="E94" s="35"/>
      <c r="F94" s="35"/>
      <c r="G94" s="35"/>
      <c r="H94" s="35"/>
      <c r="I94" s="35"/>
      <c r="J94" s="35"/>
      <c r="K94" s="35"/>
    </row>
    <row r="95" spans="4:17" x14ac:dyDescent="0.2">
      <c r="D95" s="35"/>
      <c r="E95" s="35"/>
      <c r="F95" s="35"/>
      <c r="G95" s="35"/>
      <c r="H95" s="35"/>
      <c r="I95" s="35"/>
      <c r="J95" s="35"/>
      <c r="K95" s="35"/>
    </row>
    <row r="96" spans="4:17" ht="15.75" customHeight="1" x14ac:dyDescent="0.2">
      <c r="D96" s="35"/>
      <c r="E96" s="35"/>
      <c r="F96" s="35"/>
      <c r="G96" s="35"/>
      <c r="H96" s="35"/>
      <c r="I96" s="35"/>
      <c r="J96" s="35"/>
      <c r="K96" s="35"/>
    </row>
    <row r="97" spans="4:11" ht="15.75" customHeight="1" x14ac:dyDescent="0.2">
      <c r="D97" s="35"/>
      <c r="E97" s="35"/>
      <c r="F97" s="35"/>
      <c r="G97" s="35"/>
      <c r="H97" s="35"/>
      <c r="I97" s="35"/>
      <c r="J97" s="35"/>
      <c r="K97" s="35"/>
    </row>
    <row r="98" spans="4:11" ht="45.75" customHeight="1" x14ac:dyDescent="0.2">
      <c r="I98" s="35"/>
      <c r="J98" s="35"/>
      <c r="K98" s="35"/>
    </row>
    <row r="99" spans="4:11" ht="15" customHeight="1" x14ac:dyDescent="0.2">
      <c r="I99" s="35"/>
      <c r="J99" s="35"/>
      <c r="K99" s="35"/>
    </row>
    <row r="100" spans="4:11" ht="15" customHeight="1" x14ac:dyDescent="0.2">
      <c r="I100" s="35"/>
      <c r="J100" s="35"/>
      <c r="K100" s="35"/>
    </row>
    <row r="101" spans="4:11" ht="15" customHeight="1" x14ac:dyDescent="0.2">
      <c r="I101" s="35"/>
      <c r="J101" s="35"/>
      <c r="K101" s="35"/>
    </row>
    <row r="102" spans="4:11" ht="15" customHeight="1" x14ac:dyDescent="0.2">
      <c r="I102" s="35"/>
      <c r="J102" s="35"/>
      <c r="K102" s="35"/>
    </row>
    <row r="103" spans="4:11" ht="15" customHeight="1" x14ac:dyDescent="0.2">
      <c r="I103" s="35"/>
      <c r="J103" s="35"/>
      <c r="K103" s="35"/>
    </row>
    <row r="104" spans="4:11" ht="15" customHeight="1" x14ac:dyDescent="0.2">
      <c r="I104" s="35"/>
      <c r="J104" s="35"/>
      <c r="K104" s="35"/>
    </row>
    <row r="105" spans="4:11" ht="15" customHeight="1" x14ac:dyDescent="0.2"/>
    <row r="106" spans="4:11" ht="15" customHeight="1" x14ac:dyDescent="0.2"/>
    <row r="107" spans="4:11" ht="15" customHeight="1" x14ac:dyDescent="0.2"/>
    <row r="108" spans="4:11" ht="15" customHeight="1" x14ac:dyDescent="0.2"/>
    <row r="109" spans="4:11" ht="15" customHeight="1" x14ac:dyDescent="0.2"/>
    <row r="110" spans="4:11" ht="15" customHeight="1" x14ac:dyDescent="0.2"/>
    <row r="111" spans="4:11" ht="15" customHeight="1" x14ac:dyDescent="0.2"/>
    <row r="112" spans="4:11" ht="15" customHeight="1" x14ac:dyDescent="0.2"/>
    <row r="113" spans="9:11" ht="15" customHeight="1" x14ac:dyDescent="0.2"/>
    <row r="114" spans="9:11" ht="15" customHeight="1" x14ac:dyDescent="0.2"/>
    <row r="115" spans="9:11" ht="15" customHeight="1" x14ac:dyDescent="0.2">
      <c r="J115" s="44"/>
      <c r="K115" s="44"/>
    </row>
    <row r="116" spans="9:11" ht="15" customHeight="1" x14ac:dyDescent="0.2">
      <c r="J116" s="44"/>
      <c r="K116" s="44"/>
    </row>
    <row r="117" spans="9:11" ht="15" customHeight="1" x14ac:dyDescent="0.2">
      <c r="J117" s="44"/>
      <c r="K117" s="44"/>
    </row>
    <row r="118" spans="9:11" ht="15" customHeight="1" x14ac:dyDescent="0.2"/>
    <row r="119" spans="9:11" ht="15" customHeight="1" x14ac:dyDescent="0.2"/>
    <row r="120" spans="9:11" ht="15" customHeight="1" x14ac:dyDescent="0.2">
      <c r="I120" s="33"/>
      <c r="J120" s="33"/>
      <c r="K120" s="33"/>
    </row>
  </sheetData>
  <mergeCells count="106">
    <mergeCell ref="H17:I17"/>
    <mergeCell ref="J15:K15"/>
    <mergeCell ref="E18:G18"/>
    <mergeCell ref="H18:I18"/>
    <mergeCell ref="J18:K18"/>
    <mergeCell ref="J16:K16"/>
    <mergeCell ref="J17:K17"/>
    <mergeCell ref="A11:B11"/>
    <mergeCell ref="A12:K12"/>
    <mergeCell ref="A13:B13"/>
    <mergeCell ref="E13:G13"/>
    <mergeCell ref="H13:I13"/>
    <mergeCell ref="J13:K13"/>
    <mergeCell ref="A14:B14"/>
    <mergeCell ref="E14:G14"/>
    <mergeCell ref="H14:I14"/>
    <mergeCell ref="J14:K14"/>
    <mergeCell ref="A23:B23"/>
    <mergeCell ref="E23:G23"/>
    <mergeCell ref="H23:K23"/>
    <mergeCell ref="H19:I19"/>
    <mergeCell ref="A21:B21"/>
    <mergeCell ref="E21:G21"/>
    <mergeCell ref="H21:K21"/>
    <mergeCell ref="A22:B22"/>
    <mergeCell ref="E22:G22"/>
    <mergeCell ref="H22:I22"/>
    <mergeCell ref="J19:K19"/>
    <mergeCell ref="A20:B20"/>
    <mergeCell ref="E20:G20"/>
    <mergeCell ref="H20:I20"/>
    <mergeCell ref="J20:K20"/>
    <mergeCell ref="A26:C26"/>
    <mergeCell ref="D26:F26"/>
    <mergeCell ref="G26:H26"/>
    <mergeCell ref="I26:K26"/>
    <mergeCell ref="A27:B27"/>
    <mergeCell ref="D27:F27"/>
    <mergeCell ref="I27:K27"/>
    <mergeCell ref="A24:B24"/>
    <mergeCell ref="C24:C25"/>
    <mergeCell ref="E24:G24"/>
    <mergeCell ref="H24:K24"/>
    <mergeCell ref="A25:B25"/>
    <mergeCell ref="E25:G25"/>
    <mergeCell ref="H25:K25"/>
    <mergeCell ref="A30:B30"/>
    <mergeCell ref="D30:F30"/>
    <mergeCell ref="I30:K30"/>
    <mergeCell ref="D31:F31"/>
    <mergeCell ref="G31:H31"/>
    <mergeCell ref="I31:K31"/>
    <mergeCell ref="A28:B28"/>
    <mergeCell ref="D28:F28"/>
    <mergeCell ref="I28:K28"/>
    <mergeCell ref="A29:B29"/>
    <mergeCell ref="D29:F29"/>
    <mergeCell ref="I29:K29"/>
    <mergeCell ref="A34:B34"/>
    <mergeCell ref="D34:F34"/>
    <mergeCell ref="G34:H34"/>
    <mergeCell ref="I34:K34"/>
    <mergeCell ref="D35:F35"/>
    <mergeCell ref="I35:K35"/>
    <mergeCell ref="A32:B32"/>
    <mergeCell ref="D32:F32"/>
    <mergeCell ref="I32:K32"/>
    <mergeCell ref="A33:B33"/>
    <mergeCell ref="D33:F33"/>
    <mergeCell ref="G33:H33"/>
    <mergeCell ref="I33:K33"/>
    <mergeCell ref="C40:C41"/>
    <mergeCell ref="D40:F40"/>
    <mergeCell ref="I40:K40"/>
    <mergeCell ref="A41:B41"/>
    <mergeCell ref="D41:F41"/>
    <mergeCell ref="A36:B36"/>
    <mergeCell ref="E36:F36"/>
    <mergeCell ref="J36:K36"/>
    <mergeCell ref="A37:B37"/>
    <mergeCell ref="D37:F37"/>
    <mergeCell ref="I37:K37"/>
    <mergeCell ref="C47:F47"/>
    <mergeCell ref="G47:K47"/>
    <mergeCell ref="C45:F45"/>
    <mergeCell ref="G45:K45"/>
    <mergeCell ref="C46:F46"/>
    <mergeCell ref="G46:K46"/>
    <mergeCell ref="E15:G15"/>
    <mergeCell ref="E16:G16"/>
    <mergeCell ref="E17:G17"/>
    <mergeCell ref="E19:G19"/>
    <mergeCell ref="H15:I15"/>
    <mergeCell ref="H16:I16"/>
    <mergeCell ref="G41:H41"/>
    <mergeCell ref="I41:K41"/>
    <mergeCell ref="A42:K42"/>
    <mergeCell ref="C43:F43"/>
    <mergeCell ref="G43:K43"/>
    <mergeCell ref="C44:F44"/>
    <mergeCell ref="G44:K44"/>
    <mergeCell ref="A38:B38"/>
    <mergeCell ref="D38:F38"/>
    <mergeCell ref="I38:K38"/>
    <mergeCell ref="A39:B39"/>
    <mergeCell ref="A40:B40"/>
  </mergeCells>
  <dataValidations count="2">
    <dataValidation type="list" allowBlank="1" showInputMessage="1" showErrorMessage="1" sqref="A14:A19" xr:uid="{2154BA58-C4D5-42D6-8284-7B82A16A5B7F}">
      <formula1>$M$61:$M$84</formula1>
    </dataValidation>
    <dataValidation allowBlank="1" showInputMessage="1" showErrorMessage="1" promptTitle="Введите свой город" sqref="D21 D23 C29 A29 D14:D19" xr:uid="{D41B6EB4-1CF8-40BB-A60B-82C8BC942BCD}"/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90AB-7598-412A-B57E-3D0CE79DCA22}">
  <dimension ref="A8:P116"/>
  <sheetViews>
    <sheetView workbookViewId="0">
      <selection activeCell="A39" sqref="A39:I43"/>
    </sheetView>
  </sheetViews>
  <sheetFormatPr defaultRowHeight="14.25" x14ac:dyDescent="0.2"/>
  <cols>
    <col min="1" max="1" width="18.42578125" style="26" customWidth="1"/>
    <col min="2" max="2" width="11.28515625" style="26" customWidth="1"/>
    <col min="3" max="3" width="3" style="26" customWidth="1"/>
    <col min="4" max="4" width="12.42578125" style="26" customWidth="1"/>
    <col min="5" max="5" width="11.85546875" style="26" customWidth="1"/>
    <col min="6" max="6" width="3.140625" style="26" customWidth="1"/>
    <col min="7" max="7" width="11.140625" style="26" customWidth="1"/>
    <col min="8" max="8" width="11.7109375" style="26" customWidth="1"/>
    <col min="9" max="9" width="3.5703125" style="26" customWidth="1"/>
    <col min="10" max="10" width="12.7109375" style="26" customWidth="1"/>
    <col min="11" max="11" width="9.140625" style="26"/>
    <col min="12" max="12" width="23.28515625" style="26" customWidth="1"/>
    <col min="13" max="13" width="9.140625" style="26"/>
    <col min="14" max="14" width="12" style="26" customWidth="1"/>
    <col min="15" max="15" width="9.140625" style="26"/>
    <col min="16" max="16" width="12.28515625" style="26" customWidth="1"/>
    <col min="17" max="16384" width="9.140625" style="26"/>
  </cols>
  <sheetData>
    <row r="8" spans="1:10" ht="16.5" customHeight="1" x14ac:dyDescent="0.2"/>
    <row r="9" spans="1:10" ht="13.5" customHeight="1" x14ac:dyDescent="0.2">
      <c r="A9" s="95"/>
    </row>
    <row r="10" spans="1:10" ht="21.95" customHeight="1" x14ac:dyDescent="0.2">
      <c r="A10" s="237" t="s">
        <v>100</v>
      </c>
      <c r="B10" s="237"/>
      <c r="C10" s="237"/>
      <c r="D10" s="237"/>
      <c r="E10" s="237"/>
      <c r="F10" s="237"/>
      <c r="G10" s="237"/>
      <c r="H10" s="237"/>
      <c r="I10" s="237"/>
      <c r="J10" s="237"/>
    </row>
    <row r="11" spans="1:10" ht="15" customHeight="1" x14ac:dyDescent="0.2">
      <c r="A11" s="102" t="s">
        <v>167</v>
      </c>
      <c r="B11" s="238" t="s">
        <v>57</v>
      </c>
      <c r="C11" s="239"/>
      <c r="D11" s="50" t="s">
        <v>58</v>
      </c>
      <c r="E11" s="92" t="s">
        <v>59</v>
      </c>
      <c r="F11" s="240" t="s">
        <v>101</v>
      </c>
      <c r="G11" s="241"/>
      <c r="H11" s="92" t="s">
        <v>168</v>
      </c>
      <c r="I11" s="240" t="s">
        <v>60</v>
      </c>
      <c r="J11" s="242"/>
    </row>
    <row r="12" spans="1:10" ht="15" customHeight="1" x14ac:dyDescent="0.2">
      <c r="A12" s="103" t="s">
        <v>10</v>
      </c>
      <c r="B12" s="190">
        <f>VLOOKUP(A12,ГОРОДА34[],2,0)</f>
        <v>170000</v>
      </c>
      <c r="C12" s="190"/>
      <c r="D12" s="47">
        <f>VLOOKUP(A12,ГОРОДА34[],3,0)</f>
        <v>1.2E-2</v>
      </c>
      <c r="E12" s="94">
        <f>VLOOKUP(A12,ГОРОДА34[],4,0)</f>
        <v>0.2</v>
      </c>
      <c r="F12" s="191">
        <v>1</v>
      </c>
      <c r="G12" s="191"/>
      <c r="H12" s="104">
        <f>VLOOKUP(A12,ГОРОДА34[],5,0)*F12</f>
        <v>440</v>
      </c>
      <c r="I12" s="192">
        <f t="shared" ref="I12:I17" si="0">B12*D12*F12</f>
        <v>2040</v>
      </c>
      <c r="J12" s="192"/>
    </row>
    <row r="13" spans="1:10" ht="15" customHeight="1" x14ac:dyDescent="0.2">
      <c r="A13" s="103" t="s">
        <v>11</v>
      </c>
      <c r="B13" s="190">
        <f>VLOOKUP(A13,ГОРОДА34[],2,0)</f>
        <v>340000</v>
      </c>
      <c r="C13" s="190"/>
      <c r="D13" s="47">
        <f>VLOOKUP(A13,ГОРОДА34[],3,0)</f>
        <v>1.4E-2</v>
      </c>
      <c r="E13" s="94">
        <f>VLOOKUP(A13,ГОРОДА34[],4,0)</f>
        <v>0.2</v>
      </c>
      <c r="F13" s="191">
        <v>1</v>
      </c>
      <c r="G13" s="191"/>
      <c r="H13" s="104">
        <f>VLOOKUP(A13,ГОРОДА34[],5,0)*F13</f>
        <v>440</v>
      </c>
      <c r="I13" s="192">
        <f t="shared" si="0"/>
        <v>4760</v>
      </c>
      <c r="J13" s="192"/>
    </row>
    <row r="14" spans="1:10" ht="15" customHeight="1" x14ac:dyDescent="0.2">
      <c r="A14" s="103" t="s">
        <v>12</v>
      </c>
      <c r="B14" s="190">
        <f>VLOOKUP(A14,ГОРОДА34[],2,0)</f>
        <v>360000</v>
      </c>
      <c r="C14" s="190"/>
      <c r="D14" s="47">
        <f>VLOOKUP(A14,ГОРОДА34[],3,0)</f>
        <v>1.7999999999999999E-2</v>
      </c>
      <c r="E14" s="94">
        <f>VLOOKUP(A14,ГОРОДА34[],4,0)</f>
        <v>0.2</v>
      </c>
      <c r="F14" s="191">
        <v>1</v>
      </c>
      <c r="G14" s="191"/>
      <c r="H14" s="104">
        <f>VLOOKUP(A14,ГОРОДА34[],5,0)*F14</f>
        <v>440</v>
      </c>
      <c r="I14" s="192">
        <f t="shared" si="0"/>
        <v>6479.9999999999991</v>
      </c>
      <c r="J14" s="192"/>
    </row>
    <row r="15" spans="1:10" ht="15" customHeight="1" x14ac:dyDescent="0.2">
      <c r="A15" s="103" t="s">
        <v>13</v>
      </c>
      <c r="B15" s="190">
        <f>VLOOKUP(A15,ГОРОДА34[],2,0)</f>
        <v>353000</v>
      </c>
      <c r="C15" s="190"/>
      <c r="D15" s="47">
        <f>VLOOKUP(A15,ГОРОДА34[],3,0)</f>
        <v>1.6E-2</v>
      </c>
      <c r="E15" s="94">
        <f>VLOOKUP(A15,ГОРОДА34[],4,0)</f>
        <v>0.2</v>
      </c>
      <c r="F15" s="191">
        <v>1</v>
      </c>
      <c r="G15" s="191"/>
      <c r="H15" s="104">
        <f>VLOOKUP(A15,ГОРОДА34[],5,0)*F15</f>
        <v>440</v>
      </c>
      <c r="I15" s="192">
        <f t="shared" si="0"/>
        <v>5648</v>
      </c>
      <c r="J15" s="192"/>
    </row>
    <row r="16" spans="1:10" ht="15" customHeight="1" x14ac:dyDescent="0.2">
      <c r="A16" s="103" t="s">
        <v>24</v>
      </c>
      <c r="B16" s="190">
        <f>VLOOKUP(A16,ГОРОДА34[],2,0)</f>
        <v>205000</v>
      </c>
      <c r="C16" s="190"/>
      <c r="D16" s="47">
        <f>VLOOKUP(A16,ГОРОДА34[],3,0)</f>
        <v>1.2E-2</v>
      </c>
      <c r="E16" s="94">
        <f>VLOOKUP(A16,ГОРОДА34[],4,0)</f>
        <v>0.2</v>
      </c>
      <c r="F16" s="191">
        <v>1</v>
      </c>
      <c r="G16" s="191"/>
      <c r="H16" s="104">
        <f>VLOOKUP(A16,ГОРОДА34[],5,0)*F16</f>
        <v>440</v>
      </c>
      <c r="I16" s="192">
        <f t="shared" si="0"/>
        <v>2460</v>
      </c>
      <c r="J16" s="192"/>
    </row>
    <row r="17" spans="1:10" ht="15" customHeight="1" x14ac:dyDescent="0.2">
      <c r="A17" s="103" t="s">
        <v>79</v>
      </c>
      <c r="B17" s="190">
        <f>VLOOKUP(A17,ГОРОДА34[],2,0)</f>
        <v>1996000</v>
      </c>
      <c r="C17" s="190"/>
      <c r="D17" s="47">
        <f>VLOOKUP(A17,ГОРОДА34[],3,0)</f>
        <v>2.1999999999999999E-2</v>
      </c>
      <c r="E17" s="94">
        <f>VLOOKUP(A17,ГОРОДА34[],4,0)</f>
        <v>0.4</v>
      </c>
      <c r="F17" s="191">
        <v>0</v>
      </c>
      <c r="G17" s="191"/>
      <c r="H17" s="104">
        <f>VLOOKUP(A17,ГОРОДА34[],5,0)*F17</f>
        <v>0</v>
      </c>
      <c r="I17" s="192">
        <f t="shared" si="0"/>
        <v>0</v>
      </c>
      <c r="J17" s="192"/>
    </row>
    <row r="18" spans="1:10" ht="15" customHeight="1" x14ac:dyDescent="0.2">
      <c r="A18" s="186"/>
      <c r="B18" s="189"/>
      <c r="C18" s="190"/>
      <c r="D18" s="47"/>
      <c r="E18" s="94"/>
      <c r="F18" s="191">
        <f>SUM(F12:G17)</f>
        <v>5</v>
      </c>
      <c r="G18" s="191"/>
      <c r="H18" s="104"/>
      <c r="I18" s="192">
        <f>SUM(I12:J17)</f>
        <v>21388</v>
      </c>
      <c r="J18" s="192"/>
    </row>
    <row r="19" spans="1:10" ht="15" customHeight="1" x14ac:dyDescent="0.2">
      <c r="A19" s="102" t="s">
        <v>61</v>
      </c>
      <c r="B19" s="223" t="s">
        <v>62</v>
      </c>
      <c r="C19" s="224"/>
      <c r="D19" s="51" t="s">
        <v>63</v>
      </c>
      <c r="E19" s="225" t="s">
        <v>64</v>
      </c>
      <c r="F19" s="226"/>
      <c r="G19" s="226"/>
      <c r="H19" s="227" t="s">
        <v>102</v>
      </c>
      <c r="I19" s="228"/>
      <c r="J19" s="228"/>
    </row>
    <row r="20" spans="1:10" ht="15" customHeight="1" x14ac:dyDescent="0.2">
      <c r="A20" s="105"/>
      <c r="B20" s="229">
        <v>50</v>
      </c>
      <c r="C20" s="230"/>
      <c r="D20" s="106">
        <v>0.3</v>
      </c>
      <c r="E20" s="231">
        <v>0.04</v>
      </c>
      <c r="F20" s="231"/>
      <c r="G20" s="231"/>
      <c r="H20" s="232">
        <v>2</v>
      </c>
      <c r="I20" s="233"/>
      <c r="J20" s="54" t="s">
        <v>67</v>
      </c>
    </row>
    <row r="21" spans="1:10" ht="21.95" customHeight="1" x14ac:dyDescent="0.2">
      <c r="A21" s="107" t="s">
        <v>169</v>
      </c>
      <c r="B21" s="214" t="s">
        <v>170</v>
      </c>
      <c r="C21" s="215"/>
      <c r="D21" s="216"/>
      <c r="E21" s="217" t="s">
        <v>160</v>
      </c>
      <c r="F21" s="217"/>
      <c r="G21" s="218"/>
      <c r="H21" s="219" t="s">
        <v>171</v>
      </c>
      <c r="I21" s="219"/>
      <c r="J21" s="219"/>
    </row>
    <row r="22" spans="1:10" ht="21.95" customHeight="1" x14ac:dyDescent="0.2">
      <c r="A22" s="108" t="s">
        <v>172</v>
      </c>
      <c r="B22" s="109" t="s">
        <v>160</v>
      </c>
      <c r="C22" s="110" t="s">
        <v>17</v>
      </c>
      <c r="D22" s="111" t="s">
        <v>173</v>
      </c>
      <c r="E22" s="109" t="s">
        <v>160</v>
      </c>
      <c r="F22" s="110" t="s">
        <v>17</v>
      </c>
      <c r="G22" s="111" t="s">
        <v>174</v>
      </c>
      <c r="H22" s="234" t="s">
        <v>175</v>
      </c>
      <c r="I22" s="235"/>
      <c r="J22" s="235"/>
    </row>
    <row r="23" spans="1:10" ht="21.95" customHeight="1" x14ac:dyDescent="0.2">
      <c r="A23" s="112" t="s">
        <v>25</v>
      </c>
      <c r="B23" s="113">
        <v>0.16</v>
      </c>
      <c r="C23" s="114"/>
      <c r="D23" s="115">
        <v>0.01</v>
      </c>
      <c r="E23" s="113">
        <v>0.08</v>
      </c>
      <c r="F23" s="116"/>
      <c r="G23" s="115">
        <v>5.0000000000000001E-3</v>
      </c>
      <c r="H23" s="236">
        <v>0.83</v>
      </c>
      <c r="I23" s="236"/>
      <c r="J23" s="236"/>
    </row>
    <row r="24" spans="1:10" ht="21.95" customHeight="1" x14ac:dyDescent="0.2">
      <c r="A24" s="108" t="s">
        <v>104</v>
      </c>
      <c r="B24" s="192">
        <f>I18*H20*(B23+D23)</f>
        <v>7271.92</v>
      </c>
      <c r="C24" s="192"/>
      <c r="D24" s="192"/>
      <c r="E24" s="192">
        <f>I18*H20*(E23+G23)</f>
        <v>3635.96</v>
      </c>
      <c r="F24" s="192"/>
      <c r="G24" s="192"/>
      <c r="H24" s="222">
        <f>I18*H20*H23</f>
        <v>35504.080000000002</v>
      </c>
      <c r="I24" s="222"/>
      <c r="J24" s="222"/>
    </row>
    <row r="25" spans="1:10" ht="21.95" customHeight="1" x14ac:dyDescent="0.2">
      <c r="A25" s="117" t="s">
        <v>69</v>
      </c>
      <c r="B25" s="220">
        <f>B24*$E$20</f>
        <v>290.8768</v>
      </c>
      <c r="C25" s="220"/>
      <c r="D25" s="220"/>
      <c r="E25" s="220">
        <f>E24*$E$20</f>
        <v>145.4384</v>
      </c>
      <c r="F25" s="220"/>
      <c r="G25" s="220"/>
      <c r="H25" s="220">
        <f>H24*$E$20</f>
        <v>1420.1632000000002</v>
      </c>
      <c r="I25" s="220"/>
      <c r="J25" s="220"/>
    </row>
    <row r="26" spans="1:10" ht="21.95" customHeight="1" x14ac:dyDescent="0.2">
      <c r="A26" s="108" t="s">
        <v>68</v>
      </c>
      <c r="B26" s="221">
        <f>B25*$B$20</f>
        <v>14543.84</v>
      </c>
      <c r="C26" s="221"/>
      <c r="D26" s="221"/>
      <c r="E26" s="221">
        <f>E25*$B$20</f>
        <v>7271.92</v>
      </c>
      <c r="F26" s="221"/>
      <c r="G26" s="221"/>
      <c r="H26" s="221">
        <f>H25*$B$20</f>
        <v>71008.160000000003</v>
      </c>
      <c r="I26" s="221"/>
      <c r="J26" s="221"/>
    </row>
    <row r="27" spans="1:10" ht="21.95" customHeight="1" x14ac:dyDescent="0.2">
      <c r="A27" s="117" t="s">
        <v>70</v>
      </c>
      <c r="B27" s="213">
        <f>B26*$D$20</f>
        <v>4363.152</v>
      </c>
      <c r="C27" s="213"/>
      <c r="D27" s="213"/>
      <c r="E27" s="213">
        <f>E26*$D$20</f>
        <v>2181.576</v>
      </c>
      <c r="F27" s="213"/>
      <c r="G27" s="213"/>
      <c r="H27" s="213">
        <f>H26*$D$20</f>
        <v>21302.448</v>
      </c>
      <c r="I27" s="213"/>
      <c r="J27" s="213"/>
    </row>
    <row r="28" spans="1:10" ht="21.95" customHeight="1" x14ac:dyDescent="0.2">
      <c r="A28" s="107" t="s">
        <v>176</v>
      </c>
      <c r="B28" s="214" t="s">
        <v>177</v>
      </c>
      <c r="C28" s="215"/>
      <c r="D28" s="216"/>
      <c r="E28" s="217" t="s">
        <v>160</v>
      </c>
      <c r="F28" s="217"/>
      <c r="G28" s="218"/>
      <c r="H28" s="219" t="s">
        <v>161</v>
      </c>
      <c r="I28" s="219"/>
      <c r="J28" s="219"/>
    </row>
    <row r="29" spans="1:10" ht="21.95" customHeight="1" x14ac:dyDescent="0.2">
      <c r="A29" s="117" t="s">
        <v>178</v>
      </c>
      <c r="B29" s="209">
        <f>(((B30+B31)*12*$H$20)+B32)*F18</f>
        <v>4360</v>
      </c>
      <c r="C29" s="210"/>
      <c r="D29" s="210"/>
      <c r="E29" s="209">
        <f>(((E30+E31)*12*H20)+E32)*F18</f>
        <v>2200</v>
      </c>
      <c r="F29" s="210"/>
      <c r="G29" s="210"/>
      <c r="H29" s="209">
        <f>(((H30+H31)*12*$H$20)+H32)*F18</f>
        <v>2200</v>
      </c>
      <c r="I29" s="210"/>
      <c r="J29" s="210"/>
    </row>
    <row r="30" spans="1:10" ht="21.95" customHeight="1" x14ac:dyDescent="0.2">
      <c r="A30" s="32" t="s">
        <v>109</v>
      </c>
      <c r="B30" s="211">
        <v>0</v>
      </c>
      <c r="C30" s="211"/>
      <c r="D30" s="211"/>
      <c r="E30" s="204">
        <v>0</v>
      </c>
      <c r="F30" s="204"/>
      <c r="G30" s="204"/>
      <c r="H30" s="212">
        <v>0</v>
      </c>
      <c r="I30" s="212"/>
      <c r="J30" s="212"/>
    </row>
    <row r="31" spans="1:10" ht="21.95" customHeight="1" x14ac:dyDescent="0.2">
      <c r="A31" s="118" t="s">
        <v>164</v>
      </c>
      <c r="B31" s="204">
        <v>18</v>
      </c>
      <c r="C31" s="204"/>
      <c r="D31" s="204"/>
      <c r="E31" s="205">
        <v>0</v>
      </c>
      <c r="F31" s="205"/>
      <c r="G31" s="205"/>
      <c r="H31" s="206">
        <v>0</v>
      </c>
      <c r="I31" s="206"/>
      <c r="J31" s="206"/>
    </row>
    <row r="32" spans="1:10" ht="21.95" customHeight="1" x14ac:dyDescent="0.2">
      <c r="A32" s="32" t="s">
        <v>179</v>
      </c>
      <c r="B32" s="207">
        <f>H32</f>
        <v>440</v>
      </c>
      <c r="C32" s="207"/>
      <c r="D32" s="207"/>
      <c r="E32" s="207">
        <f>H32</f>
        <v>440</v>
      </c>
      <c r="F32" s="207"/>
      <c r="G32" s="207"/>
      <c r="H32" s="208">
        <f>H12</f>
        <v>440</v>
      </c>
      <c r="I32" s="208"/>
      <c r="J32" s="208"/>
    </row>
    <row r="33" spans="1:10" ht="21.95" customHeight="1" x14ac:dyDescent="0.2">
      <c r="A33" s="117" t="s">
        <v>111</v>
      </c>
      <c r="B33" s="119">
        <f>(B29/(B27/(360*$H$20)))/30</f>
        <v>23.982662075490381</v>
      </c>
      <c r="C33" s="200" t="s">
        <v>15</v>
      </c>
      <c r="D33" s="200"/>
      <c r="E33" s="119">
        <f>(E29/(E27/(360*$H$20)))/30</f>
        <v>24.202686498201299</v>
      </c>
      <c r="F33" s="201" t="s">
        <v>15</v>
      </c>
      <c r="G33" s="201"/>
      <c r="H33" s="119">
        <f>(H29/(H27/(360*$H$20)))/30</f>
        <v>2.4785883763218197</v>
      </c>
      <c r="I33" s="201" t="s">
        <v>15</v>
      </c>
      <c r="J33" s="201"/>
    </row>
    <row r="34" spans="1:10" ht="21.95" customHeight="1" x14ac:dyDescent="0.2">
      <c r="A34" s="32" t="s">
        <v>76</v>
      </c>
      <c r="B34" s="202">
        <f>(B27-B29)/B29</f>
        <v>7.2293577981652382E-4</v>
      </c>
      <c r="C34" s="202"/>
      <c r="D34" s="202"/>
      <c r="E34" s="202">
        <f>(E27-E29)/E29</f>
        <v>-8.3745454545454453E-3</v>
      </c>
      <c r="F34" s="202"/>
      <c r="G34" s="202"/>
      <c r="H34" s="203">
        <f>(H27-H29)/H29</f>
        <v>8.6829309090909099</v>
      </c>
      <c r="I34" s="203"/>
      <c r="J34" s="203"/>
    </row>
    <row r="35" spans="1:10" ht="21.95" customHeight="1" x14ac:dyDescent="0.2">
      <c r="A35" s="120" t="s">
        <v>71</v>
      </c>
      <c r="B35" s="121">
        <f>B34</f>
        <v>7.2293577981652382E-4</v>
      </c>
      <c r="C35" s="122" t="s">
        <v>72</v>
      </c>
      <c r="D35" s="123">
        <v>1</v>
      </c>
      <c r="E35" s="121">
        <f>E34</f>
        <v>-8.3745454545454453E-3</v>
      </c>
      <c r="F35" s="122" t="s">
        <v>72</v>
      </c>
      <c r="G35" s="123">
        <v>1</v>
      </c>
      <c r="H35" s="124">
        <f>H34</f>
        <v>8.6829309090909099</v>
      </c>
      <c r="I35" s="122" t="s">
        <v>72</v>
      </c>
      <c r="J35" s="123">
        <v>1</v>
      </c>
    </row>
    <row r="36" spans="1:10" ht="21.95" customHeight="1" x14ac:dyDescent="0.2">
      <c r="A36" s="125" t="s">
        <v>73</v>
      </c>
      <c r="B36" s="194">
        <f>B29/B25</f>
        <v>14.989163797181487</v>
      </c>
      <c r="C36" s="195"/>
      <c r="D36" s="195"/>
      <c r="E36" s="194">
        <f>E29/E25</f>
        <v>15.126679061375812</v>
      </c>
      <c r="F36" s="194"/>
      <c r="G36" s="194"/>
      <c r="H36" s="196">
        <f>H29/H25</f>
        <v>1.5491177352011372</v>
      </c>
      <c r="I36" s="196"/>
      <c r="J36" s="196"/>
    </row>
    <row r="37" spans="1:10" ht="21.95" customHeight="1" x14ac:dyDescent="0.2">
      <c r="A37" s="117" t="s">
        <v>113</v>
      </c>
      <c r="B37" s="197">
        <f>B29/B26</f>
        <v>0.29978327594362975</v>
      </c>
      <c r="C37" s="197"/>
      <c r="D37" s="197"/>
      <c r="E37" s="198">
        <f>E29/E26</f>
        <v>0.30253358122751622</v>
      </c>
      <c r="F37" s="198"/>
      <c r="G37" s="198"/>
      <c r="H37" s="199">
        <f>H29/H26</f>
        <v>3.0982354704022746E-2</v>
      </c>
      <c r="I37" s="199"/>
      <c r="J37" s="199"/>
    </row>
    <row r="38" spans="1:10" ht="21.95" customHeight="1" x14ac:dyDescent="0.2">
      <c r="A38" s="193" t="s">
        <v>115</v>
      </c>
      <c r="B38" s="193"/>
      <c r="C38" s="193"/>
      <c r="D38" s="193"/>
      <c r="E38" s="193"/>
      <c r="F38" s="193"/>
      <c r="G38" s="193"/>
      <c r="H38" s="193"/>
      <c r="I38" s="193"/>
      <c r="J38" s="193"/>
    </row>
    <row r="39" spans="1:10" ht="15" customHeight="1" x14ac:dyDescent="0.2">
      <c r="A39" s="187" t="s">
        <v>116</v>
      </c>
      <c r="B39" s="187"/>
      <c r="C39" s="187"/>
      <c r="D39" s="187"/>
      <c r="E39" s="187" t="s">
        <v>37</v>
      </c>
      <c r="F39" s="187"/>
      <c r="G39" s="187"/>
      <c r="H39" s="187"/>
      <c r="I39" s="187"/>
      <c r="J39" s="126"/>
    </row>
    <row r="40" spans="1:10" ht="15" customHeight="1" x14ac:dyDescent="0.2">
      <c r="A40" s="187" t="s">
        <v>154</v>
      </c>
      <c r="B40" s="187"/>
      <c r="C40" s="187"/>
      <c r="D40" s="187"/>
      <c r="E40" s="187" t="s">
        <v>38</v>
      </c>
      <c r="F40" s="187"/>
      <c r="G40" s="187"/>
      <c r="H40" s="187"/>
      <c r="I40" s="187"/>
      <c r="J40" s="126"/>
    </row>
    <row r="41" spans="1:10" ht="15" customHeight="1" x14ac:dyDescent="0.2">
      <c r="A41" s="187" t="s">
        <v>34</v>
      </c>
      <c r="B41" s="187"/>
      <c r="C41" s="187"/>
      <c r="D41" s="187"/>
      <c r="E41" s="187" t="s">
        <v>39</v>
      </c>
      <c r="F41" s="187"/>
      <c r="G41" s="187"/>
      <c r="H41" s="187"/>
      <c r="I41" s="187"/>
      <c r="J41" s="126"/>
    </row>
    <row r="42" spans="1:10" x14ac:dyDescent="0.2">
      <c r="A42" s="187" t="s">
        <v>35</v>
      </c>
      <c r="B42" s="187"/>
      <c r="C42" s="187"/>
      <c r="D42" s="187"/>
      <c r="E42" s="187" t="s">
        <v>40</v>
      </c>
      <c r="F42" s="187"/>
      <c r="G42" s="187"/>
      <c r="H42" s="187"/>
      <c r="I42" s="187"/>
      <c r="J42" s="126"/>
    </row>
    <row r="43" spans="1:10" x14ac:dyDescent="0.2">
      <c r="A43" s="187" t="s">
        <v>36</v>
      </c>
      <c r="B43" s="187"/>
      <c r="C43" s="187"/>
      <c r="D43" s="187"/>
      <c r="E43" s="188"/>
      <c r="F43" s="188"/>
      <c r="G43" s="188"/>
      <c r="H43" s="188"/>
      <c r="I43" s="188"/>
      <c r="J43" s="35"/>
    </row>
    <row r="44" spans="1:10" x14ac:dyDescent="0.2">
      <c r="E44" s="35"/>
      <c r="F44" s="35"/>
      <c r="G44" s="35"/>
      <c r="H44" s="35"/>
      <c r="I44" s="35"/>
      <c r="J44" s="35"/>
    </row>
    <row r="45" spans="1:10" x14ac:dyDescent="0.2">
      <c r="E45" s="35"/>
      <c r="F45" s="35"/>
      <c r="G45" s="35"/>
      <c r="H45" s="35"/>
      <c r="I45" s="35"/>
      <c r="J45" s="35"/>
    </row>
    <row r="46" spans="1:10" x14ac:dyDescent="0.2">
      <c r="E46" s="35"/>
      <c r="F46" s="35"/>
      <c r="G46" s="35"/>
      <c r="H46" s="35"/>
      <c r="I46" s="35"/>
      <c r="J46" s="35"/>
    </row>
    <row r="47" spans="1:10" x14ac:dyDescent="0.2">
      <c r="E47" s="35"/>
      <c r="F47" s="35"/>
      <c r="G47" s="35"/>
      <c r="H47" s="35"/>
      <c r="I47" s="35"/>
      <c r="J47" s="35"/>
    </row>
    <row r="48" spans="1:10" x14ac:dyDescent="0.2">
      <c r="E48" s="35"/>
      <c r="F48" s="35"/>
      <c r="G48" s="35"/>
      <c r="H48" s="35"/>
      <c r="I48" s="35"/>
      <c r="J48" s="35"/>
    </row>
    <row r="49" spans="5:16" x14ac:dyDescent="0.2">
      <c r="E49" s="35"/>
      <c r="F49" s="35"/>
      <c r="G49" s="35"/>
      <c r="H49" s="35"/>
      <c r="I49" s="35"/>
      <c r="J49" s="35"/>
    </row>
    <row r="50" spans="5:16" x14ac:dyDescent="0.2">
      <c r="E50" s="35"/>
      <c r="F50" s="35"/>
      <c r="G50" s="35"/>
      <c r="H50" s="35"/>
      <c r="I50" s="35"/>
      <c r="J50" s="35"/>
    </row>
    <row r="51" spans="5:16" x14ac:dyDescent="0.2">
      <c r="E51" s="35"/>
      <c r="F51" s="35"/>
      <c r="G51" s="35"/>
      <c r="H51" s="35"/>
      <c r="I51" s="35"/>
      <c r="J51" s="35"/>
    </row>
    <row r="52" spans="5:16" x14ac:dyDescent="0.2">
      <c r="E52" s="35"/>
      <c r="F52" s="35"/>
      <c r="G52" s="35"/>
      <c r="H52" s="35"/>
      <c r="I52" s="35"/>
      <c r="J52" s="35"/>
    </row>
    <row r="53" spans="5:16" x14ac:dyDescent="0.2">
      <c r="E53" s="35"/>
      <c r="F53" s="35"/>
      <c r="G53" s="35"/>
      <c r="H53" s="35"/>
      <c r="I53" s="35"/>
      <c r="J53" s="35"/>
    </row>
    <row r="54" spans="5:16" x14ac:dyDescent="0.2">
      <c r="E54" s="35"/>
      <c r="F54" s="35"/>
      <c r="G54" s="35"/>
      <c r="H54" s="35"/>
      <c r="I54" s="35"/>
      <c r="J54" s="35"/>
    </row>
    <row r="55" spans="5:16" x14ac:dyDescent="0.2">
      <c r="E55" s="35"/>
      <c r="F55" s="35"/>
      <c r="G55" s="35"/>
      <c r="H55" s="35"/>
      <c r="I55" s="35"/>
      <c r="J55" s="35"/>
    </row>
    <row r="56" spans="5:16" ht="22.5" x14ac:dyDescent="0.2">
      <c r="E56" s="35"/>
      <c r="F56" s="35"/>
      <c r="G56" s="35"/>
      <c r="H56" s="35"/>
      <c r="I56" s="35"/>
      <c r="J56" s="35"/>
      <c r="L56" s="36" t="s">
        <v>77</v>
      </c>
      <c r="M56" s="36" t="s">
        <v>57</v>
      </c>
      <c r="N56" s="37" t="s">
        <v>99</v>
      </c>
      <c r="O56" s="37" t="s">
        <v>59</v>
      </c>
      <c r="P56" s="37" t="s">
        <v>78</v>
      </c>
    </row>
    <row r="57" spans="5:16" ht="15.75" x14ac:dyDescent="0.25">
      <c r="E57" s="35"/>
      <c r="F57" s="35"/>
      <c r="G57" s="35"/>
      <c r="H57" s="35"/>
      <c r="I57" s="35"/>
      <c r="J57" s="35"/>
      <c r="L57" s="38" t="s">
        <v>10</v>
      </c>
      <c r="M57" s="39">
        <v>170000</v>
      </c>
      <c r="N57" s="45">
        <v>1.2E-2</v>
      </c>
      <c r="O57" s="40">
        <v>0.2</v>
      </c>
      <c r="P57" s="41">
        <v>440</v>
      </c>
    </row>
    <row r="58" spans="5:16" ht="15" x14ac:dyDescent="0.2">
      <c r="E58" s="35"/>
      <c r="F58" s="35"/>
      <c r="G58" s="35"/>
      <c r="H58" s="35"/>
      <c r="I58" s="35"/>
      <c r="J58" s="35"/>
      <c r="L58" s="42" t="s">
        <v>79</v>
      </c>
      <c r="M58" s="39">
        <v>1996000</v>
      </c>
      <c r="N58" s="45">
        <v>2.1999999999999999E-2</v>
      </c>
      <c r="O58" s="40">
        <v>0.4</v>
      </c>
      <c r="P58" s="41">
        <v>1320</v>
      </c>
    </row>
    <row r="59" spans="5:16" ht="15" x14ac:dyDescent="0.2">
      <c r="E59" s="35"/>
      <c r="F59" s="35"/>
      <c r="G59" s="35"/>
      <c r="H59" s="35"/>
      <c r="I59" s="35"/>
      <c r="J59" s="35"/>
      <c r="L59" s="43" t="s">
        <v>11</v>
      </c>
      <c r="M59" s="39">
        <v>340000</v>
      </c>
      <c r="N59" s="45">
        <v>1.4E-2</v>
      </c>
      <c r="O59" s="40">
        <v>0.2</v>
      </c>
      <c r="P59" s="41">
        <v>440</v>
      </c>
    </row>
    <row r="60" spans="5:16" ht="15" x14ac:dyDescent="0.2">
      <c r="E60" s="35"/>
      <c r="F60" s="35"/>
      <c r="G60" s="35"/>
      <c r="H60" s="35"/>
      <c r="I60" s="35"/>
      <c r="J60" s="35"/>
      <c r="L60" s="43" t="s">
        <v>80</v>
      </c>
      <c r="M60" s="39">
        <v>357000</v>
      </c>
      <c r="N60" s="45">
        <v>5.0000000000000001E-3</v>
      </c>
      <c r="O60" s="40">
        <v>0.2</v>
      </c>
      <c r="P60" s="41">
        <v>440</v>
      </c>
    </row>
    <row r="61" spans="5:16" ht="15" x14ac:dyDescent="0.2">
      <c r="E61" s="35"/>
      <c r="F61" s="35"/>
      <c r="G61" s="35"/>
      <c r="H61" s="35"/>
      <c r="I61" s="35"/>
      <c r="J61" s="35"/>
      <c r="L61" s="43" t="s">
        <v>12</v>
      </c>
      <c r="M61" s="39">
        <v>360000</v>
      </c>
      <c r="N61" s="45">
        <v>1.7999999999999999E-2</v>
      </c>
      <c r="O61" s="40">
        <v>0.2</v>
      </c>
      <c r="P61" s="41">
        <v>440</v>
      </c>
    </row>
    <row r="62" spans="5:16" ht="15" x14ac:dyDescent="0.2">
      <c r="E62" s="35"/>
      <c r="F62" s="35"/>
      <c r="G62" s="35"/>
      <c r="H62" s="35"/>
      <c r="I62" s="35"/>
      <c r="J62" s="35"/>
      <c r="L62" s="43" t="s">
        <v>13</v>
      </c>
      <c r="M62" s="39">
        <v>353000</v>
      </c>
      <c r="N62" s="45">
        <v>1.6E-2</v>
      </c>
      <c r="O62" s="40">
        <v>0.2</v>
      </c>
      <c r="P62" s="41">
        <v>440</v>
      </c>
    </row>
    <row r="63" spans="5:16" ht="15" x14ac:dyDescent="0.2">
      <c r="E63" s="35"/>
      <c r="F63" s="35"/>
      <c r="G63" s="35"/>
      <c r="H63" s="35"/>
      <c r="I63" s="35"/>
      <c r="J63" s="35"/>
      <c r="L63" s="43" t="s">
        <v>24</v>
      </c>
      <c r="M63" s="39">
        <v>205000</v>
      </c>
      <c r="N63" s="45">
        <v>1.2E-2</v>
      </c>
      <c r="O63" s="40">
        <v>0.2</v>
      </c>
      <c r="P63" s="41">
        <v>440</v>
      </c>
    </row>
    <row r="64" spans="5:16" ht="15" x14ac:dyDescent="0.2">
      <c r="E64" s="35"/>
      <c r="F64" s="35"/>
      <c r="G64" s="35"/>
      <c r="H64" s="35"/>
      <c r="I64" s="35"/>
      <c r="J64" s="35"/>
      <c r="L64" s="43" t="s">
        <v>81</v>
      </c>
      <c r="M64" s="39">
        <v>500000</v>
      </c>
      <c r="N64" s="45">
        <v>1.4999999999999999E-2</v>
      </c>
      <c r="O64" s="40">
        <v>0.2</v>
      </c>
      <c r="P64" s="41">
        <v>440</v>
      </c>
    </row>
    <row r="65" spans="5:16" ht="15" x14ac:dyDescent="0.2">
      <c r="E65" s="35"/>
      <c r="F65" s="35"/>
      <c r="G65" s="35"/>
      <c r="H65" s="35"/>
      <c r="I65" s="35"/>
      <c r="J65" s="35"/>
      <c r="L65" s="42" t="s">
        <v>82</v>
      </c>
      <c r="M65" s="39">
        <v>13000000</v>
      </c>
      <c r="N65" s="45">
        <v>4.1000000000000002E-2</v>
      </c>
      <c r="O65" s="40">
        <v>4</v>
      </c>
      <c r="P65" s="41">
        <v>1320</v>
      </c>
    </row>
    <row r="66" spans="5:16" ht="15" x14ac:dyDescent="0.2">
      <c r="E66" s="35"/>
      <c r="F66" s="35"/>
      <c r="G66" s="35"/>
      <c r="H66" s="35"/>
      <c r="I66" s="35"/>
      <c r="J66" s="35"/>
      <c r="L66" s="43" t="s">
        <v>83</v>
      </c>
      <c r="M66" s="39">
        <v>5590000</v>
      </c>
      <c r="N66" s="45">
        <v>5.5E-2</v>
      </c>
      <c r="O66" s="40">
        <v>2</v>
      </c>
      <c r="P66" s="41">
        <v>1320</v>
      </c>
    </row>
    <row r="67" spans="5:16" ht="15" x14ac:dyDescent="0.2">
      <c r="E67" s="35"/>
      <c r="F67" s="35"/>
      <c r="G67" s="35"/>
      <c r="H67" s="35"/>
      <c r="I67" s="35"/>
      <c r="J67" s="35"/>
      <c r="L67" s="43" t="s">
        <v>84</v>
      </c>
      <c r="M67" s="39">
        <v>1630000</v>
      </c>
      <c r="N67" s="45">
        <v>2.4E-2</v>
      </c>
      <c r="O67" s="40">
        <v>1</v>
      </c>
      <c r="P67" s="41">
        <v>1320</v>
      </c>
    </row>
    <row r="68" spans="5:16" ht="15" x14ac:dyDescent="0.2">
      <c r="E68" s="35"/>
      <c r="F68" s="35"/>
      <c r="G68" s="35"/>
      <c r="H68" s="35"/>
      <c r="I68" s="35"/>
      <c r="J68" s="35"/>
      <c r="L68" s="43" t="s">
        <v>85</v>
      </c>
      <c r="M68" s="39">
        <v>1550000</v>
      </c>
      <c r="N68" s="45">
        <v>3.4000000000000002E-2</v>
      </c>
      <c r="O68" s="40">
        <v>1</v>
      </c>
      <c r="P68" s="41">
        <v>1320</v>
      </c>
    </row>
    <row r="69" spans="5:16" ht="15" x14ac:dyDescent="0.2">
      <c r="E69" s="35"/>
      <c r="F69" s="35"/>
      <c r="G69" s="35"/>
      <c r="H69" s="35"/>
      <c r="I69" s="35"/>
      <c r="J69" s="35"/>
      <c r="L69" s="43" t="s">
        <v>86</v>
      </c>
      <c r="M69" s="39">
        <v>1300000</v>
      </c>
      <c r="N69" s="45">
        <v>2.1999999999999999E-2</v>
      </c>
      <c r="O69" s="40">
        <v>1</v>
      </c>
      <c r="P69" s="41">
        <v>1320</v>
      </c>
    </row>
    <row r="70" spans="5:16" ht="15" x14ac:dyDescent="0.2">
      <c r="E70" s="35"/>
      <c r="F70" s="35"/>
      <c r="G70" s="35"/>
      <c r="H70" s="35"/>
      <c r="I70" s="35"/>
      <c r="J70" s="35"/>
      <c r="L70" s="43" t="s">
        <v>87</v>
      </c>
      <c r="M70" s="39">
        <v>1100000</v>
      </c>
      <c r="N70" s="45">
        <v>4.2000000000000003E-2</v>
      </c>
      <c r="O70" s="40">
        <v>1</v>
      </c>
      <c r="P70" s="41">
        <v>1320</v>
      </c>
    </row>
    <row r="71" spans="5:16" ht="15" x14ac:dyDescent="0.2">
      <c r="E71" s="35"/>
      <c r="F71" s="35"/>
      <c r="G71" s="35"/>
      <c r="H71" s="35"/>
      <c r="I71" s="35"/>
      <c r="J71" s="35"/>
      <c r="L71" s="43" t="s">
        <v>88</v>
      </c>
      <c r="M71" s="39">
        <v>1220000</v>
      </c>
      <c r="N71" s="45">
        <v>4.2999999999999997E-2</v>
      </c>
      <c r="O71" s="40">
        <v>1</v>
      </c>
      <c r="P71" s="41">
        <v>1320</v>
      </c>
    </row>
    <row r="72" spans="5:16" ht="15" x14ac:dyDescent="0.2">
      <c r="E72" s="35"/>
      <c r="F72" s="35"/>
      <c r="G72" s="35"/>
      <c r="H72" s="35"/>
      <c r="I72" s="35"/>
      <c r="J72" s="35"/>
      <c r="L72" s="43" t="s">
        <v>89</v>
      </c>
      <c r="M72" s="39">
        <v>1190000</v>
      </c>
      <c r="N72" s="45">
        <v>2.1999999999999999E-2</v>
      </c>
      <c r="O72" s="40">
        <v>1</v>
      </c>
      <c r="P72" s="41">
        <v>1320</v>
      </c>
    </row>
    <row r="73" spans="5:16" ht="15" x14ac:dyDescent="0.2">
      <c r="E73" s="35"/>
      <c r="F73" s="35"/>
      <c r="G73" s="35"/>
      <c r="H73" s="35"/>
      <c r="I73" s="35"/>
      <c r="J73" s="35"/>
      <c r="L73" s="43" t="s">
        <v>90</v>
      </c>
      <c r="M73" s="39">
        <v>1190000</v>
      </c>
      <c r="N73" s="45">
        <v>1.4999999999999999E-2</v>
      </c>
      <c r="O73" s="40">
        <v>1</v>
      </c>
      <c r="P73" s="41">
        <v>1320</v>
      </c>
    </row>
    <row r="74" spans="5:16" ht="15" x14ac:dyDescent="0.2">
      <c r="E74" s="35"/>
      <c r="F74" s="35"/>
      <c r="G74" s="35"/>
      <c r="H74" s="35"/>
      <c r="I74" s="35"/>
      <c r="J74" s="35"/>
      <c r="L74" s="43" t="s">
        <v>91</v>
      </c>
      <c r="M74" s="39">
        <v>1170000</v>
      </c>
      <c r="N74" s="45">
        <v>2.8000000000000001E-2</v>
      </c>
      <c r="O74" s="40">
        <v>1</v>
      </c>
      <c r="P74" s="41">
        <v>1320</v>
      </c>
    </row>
    <row r="75" spans="5:16" ht="15" x14ac:dyDescent="0.2">
      <c r="E75" s="35"/>
      <c r="F75" s="35"/>
      <c r="G75" s="35"/>
      <c r="H75" s="35"/>
      <c r="I75" s="35"/>
      <c r="J75" s="35"/>
      <c r="L75" s="43" t="s">
        <v>92</v>
      </c>
      <c r="M75" s="39">
        <v>1145000</v>
      </c>
      <c r="N75" s="45">
        <v>2.1000000000000001E-2</v>
      </c>
      <c r="O75" s="40">
        <v>1</v>
      </c>
      <c r="P75" s="41">
        <v>1320</v>
      </c>
    </row>
    <row r="76" spans="5:16" ht="15" x14ac:dyDescent="0.2">
      <c r="E76" s="35"/>
      <c r="F76" s="35"/>
      <c r="G76" s="35"/>
      <c r="H76" s="35"/>
      <c r="I76" s="35"/>
      <c r="J76" s="35"/>
      <c r="L76" s="43" t="s">
        <v>93</v>
      </c>
      <c r="M76" s="39">
        <v>1140000</v>
      </c>
      <c r="N76" s="45">
        <v>3.2000000000000001E-2</v>
      </c>
      <c r="O76" s="40">
        <v>1</v>
      </c>
      <c r="P76" s="41">
        <v>1320</v>
      </c>
    </row>
    <row r="77" spans="5:16" ht="15" x14ac:dyDescent="0.2">
      <c r="E77" s="35"/>
      <c r="F77" s="35"/>
      <c r="G77" s="35"/>
      <c r="H77" s="35"/>
      <c r="I77" s="35"/>
      <c r="J77" s="35"/>
      <c r="L77" s="43" t="s">
        <v>94</v>
      </c>
      <c r="M77" s="39">
        <v>1120000</v>
      </c>
      <c r="N77" s="45">
        <v>0.02</v>
      </c>
      <c r="O77" s="40">
        <v>1</v>
      </c>
      <c r="P77" s="41">
        <v>1320</v>
      </c>
    </row>
    <row r="78" spans="5:16" ht="15" x14ac:dyDescent="0.2">
      <c r="E78" s="35"/>
      <c r="F78" s="35"/>
      <c r="G78" s="35"/>
      <c r="H78" s="35"/>
      <c r="I78" s="35"/>
      <c r="J78" s="35"/>
      <c r="L78" s="43" t="s">
        <v>95</v>
      </c>
      <c r="M78" s="39">
        <v>1060000</v>
      </c>
      <c r="N78" s="45">
        <v>3.3000000000000002E-2</v>
      </c>
      <c r="O78" s="40">
        <v>1</v>
      </c>
      <c r="P78" s="41">
        <v>1320</v>
      </c>
    </row>
    <row r="79" spans="5:16" ht="15" x14ac:dyDescent="0.2">
      <c r="E79" s="35"/>
      <c r="F79" s="35"/>
      <c r="G79" s="35"/>
      <c r="H79" s="35"/>
      <c r="I79" s="35"/>
      <c r="J79" s="35"/>
      <c r="L79" s="43" t="s">
        <v>96</v>
      </c>
      <c r="M79" s="39">
        <v>1030000</v>
      </c>
      <c r="N79" s="45">
        <v>2.7E-2</v>
      </c>
      <c r="O79" s="40">
        <v>1</v>
      </c>
      <c r="P79" s="41">
        <v>1320</v>
      </c>
    </row>
    <row r="80" spans="5:16" ht="15" x14ac:dyDescent="0.2">
      <c r="E80" s="35"/>
      <c r="F80" s="35"/>
      <c r="G80" s="35"/>
      <c r="H80" s="35"/>
      <c r="I80" s="35"/>
      <c r="J80" s="35"/>
      <c r="L80" s="43" t="s">
        <v>97</v>
      </c>
      <c r="M80" s="39">
        <v>1050000</v>
      </c>
      <c r="N80" s="45">
        <v>2.5000000000000001E-2</v>
      </c>
      <c r="O80" s="40">
        <v>1</v>
      </c>
      <c r="P80" s="41">
        <v>1320</v>
      </c>
    </row>
    <row r="81" spans="5:10" x14ac:dyDescent="0.2">
      <c r="E81" s="35"/>
      <c r="F81" s="35"/>
      <c r="G81" s="35"/>
      <c r="H81" s="35"/>
      <c r="I81" s="35"/>
      <c r="J81" s="35"/>
    </row>
    <row r="82" spans="5:10" x14ac:dyDescent="0.2">
      <c r="E82" s="35"/>
      <c r="F82" s="35"/>
      <c r="G82" s="35"/>
      <c r="H82" s="35"/>
      <c r="I82" s="35"/>
      <c r="J82" s="35"/>
    </row>
    <row r="83" spans="5:10" x14ac:dyDescent="0.2">
      <c r="E83" s="35"/>
      <c r="F83" s="35"/>
      <c r="G83" s="35"/>
      <c r="H83" s="35"/>
      <c r="I83" s="35"/>
      <c r="J83" s="35"/>
    </row>
    <row r="84" spans="5:10" x14ac:dyDescent="0.2">
      <c r="E84" s="35"/>
      <c r="F84" s="35"/>
      <c r="G84" s="35"/>
      <c r="H84" s="35"/>
      <c r="I84" s="35"/>
      <c r="J84" s="35"/>
    </row>
    <row r="85" spans="5:10" x14ac:dyDescent="0.2">
      <c r="E85" s="35"/>
      <c r="F85" s="35"/>
      <c r="G85" s="35"/>
      <c r="H85" s="35"/>
      <c r="I85" s="35"/>
      <c r="J85" s="35"/>
    </row>
    <row r="86" spans="5:10" x14ac:dyDescent="0.2">
      <c r="E86" s="35"/>
      <c r="F86" s="35"/>
      <c r="G86" s="35"/>
      <c r="H86" s="35"/>
      <c r="I86" s="35"/>
      <c r="J86" s="35"/>
    </row>
    <row r="87" spans="5:10" x14ac:dyDescent="0.2">
      <c r="E87" s="35"/>
      <c r="F87" s="35"/>
      <c r="G87" s="35"/>
      <c r="H87" s="35"/>
      <c r="I87" s="35"/>
      <c r="J87" s="35"/>
    </row>
    <row r="88" spans="5:10" x14ac:dyDescent="0.2">
      <c r="E88" s="35"/>
      <c r="F88" s="35"/>
      <c r="G88" s="35"/>
      <c r="H88" s="35"/>
      <c r="I88" s="35"/>
      <c r="J88" s="35"/>
    </row>
    <row r="89" spans="5:10" x14ac:dyDescent="0.2">
      <c r="E89" s="35"/>
      <c r="F89" s="35"/>
      <c r="G89" s="35"/>
      <c r="H89" s="35"/>
      <c r="I89" s="35"/>
      <c r="J89" s="35"/>
    </row>
    <row r="90" spans="5:10" x14ac:dyDescent="0.2">
      <c r="E90" s="35"/>
      <c r="F90" s="35"/>
      <c r="G90" s="35"/>
      <c r="H90" s="35"/>
      <c r="I90" s="35"/>
      <c r="J90" s="35"/>
    </row>
    <row r="91" spans="5:10" x14ac:dyDescent="0.2">
      <c r="E91" s="35"/>
      <c r="F91" s="35"/>
      <c r="G91" s="35"/>
      <c r="H91" s="35"/>
      <c r="I91" s="35"/>
      <c r="J91" s="35"/>
    </row>
    <row r="92" spans="5:10" ht="15.75" customHeight="1" x14ac:dyDescent="0.2">
      <c r="E92" s="35"/>
      <c r="F92" s="35"/>
      <c r="G92" s="35"/>
      <c r="H92" s="35"/>
      <c r="I92" s="35"/>
      <c r="J92" s="35"/>
    </row>
    <row r="93" spans="5:10" ht="15.75" customHeight="1" x14ac:dyDescent="0.2">
      <c r="E93" s="35"/>
      <c r="F93" s="35"/>
      <c r="G93" s="35"/>
      <c r="H93" s="35"/>
      <c r="I93" s="35"/>
      <c r="J93" s="35"/>
    </row>
    <row r="94" spans="5:10" ht="45.75" customHeight="1" x14ac:dyDescent="0.2">
      <c r="H94" s="35"/>
      <c r="I94" s="35"/>
      <c r="J94" s="35"/>
    </row>
    <row r="95" spans="5:10" ht="15" customHeight="1" x14ac:dyDescent="0.2">
      <c r="H95" s="35"/>
      <c r="I95" s="35"/>
      <c r="J95" s="35"/>
    </row>
    <row r="96" spans="5:10" ht="15" customHeight="1" x14ac:dyDescent="0.2">
      <c r="H96" s="35"/>
      <c r="I96" s="35"/>
      <c r="J96" s="35"/>
    </row>
    <row r="97" spans="8:10" ht="15" customHeight="1" x14ac:dyDescent="0.2">
      <c r="H97" s="35"/>
      <c r="I97" s="35"/>
      <c r="J97" s="35"/>
    </row>
    <row r="98" spans="8:10" ht="15" customHeight="1" x14ac:dyDescent="0.2">
      <c r="H98" s="35"/>
      <c r="I98" s="35"/>
      <c r="J98" s="35"/>
    </row>
    <row r="99" spans="8:10" ht="15" customHeight="1" x14ac:dyDescent="0.2">
      <c r="H99" s="35"/>
      <c r="I99" s="35"/>
      <c r="J99" s="35"/>
    </row>
    <row r="100" spans="8:10" ht="15" customHeight="1" x14ac:dyDescent="0.2">
      <c r="H100" s="35"/>
      <c r="I100" s="35"/>
      <c r="J100" s="35"/>
    </row>
    <row r="101" spans="8:10" ht="15" customHeight="1" x14ac:dyDescent="0.2"/>
    <row r="102" spans="8:10" ht="15" customHeight="1" x14ac:dyDescent="0.2"/>
    <row r="103" spans="8:10" ht="15" customHeight="1" x14ac:dyDescent="0.2"/>
    <row r="104" spans="8:10" ht="15" customHeight="1" x14ac:dyDescent="0.2"/>
    <row r="105" spans="8:10" ht="15" customHeight="1" x14ac:dyDescent="0.2"/>
    <row r="106" spans="8:10" ht="15" customHeight="1" x14ac:dyDescent="0.2"/>
    <row r="107" spans="8:10" ht="15" customHeight="1" x14ac:dyDescent="0.2"/>
    <row r="108" spans="8:10" ht="15" customHeight="1" x14ac:dyDescent="0.2"/>
    <row r="109" spans="8:10" ht="15" customHeight="1" x14ac:dyDescent="0.2"/>
    <row r="110" spans="8:10" ht="15" customHeight="1" x14ac:dyDescent="0.2"/>
    <row r="111" spans="8:10" ht="15" customHeight="1" x14ac:dyDescent="0.2">
      <c r="I111" s="44"/>
      <c r="J111" s="44"/>
    </row>
    <row r="112" spans="8:10" ht="15" customHeight="1" x14ac:dyDescent="0.2">
      <c r="I112" s="44"/>
      <c r="J112" s="44"/>
    </row>
    <row r="113" spans="8:10" ht="15" customHeight="1" x14ac:dyDescent="0.2">
      <c r="I113" s="44"/>
      <c r="J113" s="44"/>
    </row>
    <row r="114" spans="8:10" ht="15" customHeight="1" x14ac:dyDescent="0.2"/>
    <row r="115" spans="8:10" ht="15" customHeight="1" x14ac:dyDescent="0.2"/>
    <row r="116" spans="8:10" ht="15" customHeight="1" x14ac:dyDescent="0.2">
      <c r="H116" s="33"/>
      <c r="I116" s="33"/>
      <c r="J116" s="33"/>
    </row>
  </sheetData>
  <mergeCells count="86">
    <mergeCell ref="A10:J10"/>
    <mergeCell ref="B11:C11"/>
    <mergeCell ref="F11:G11"/>
    <mergeCell ref="I11:J11"/>
    <mergeCell ref="B12:C12"/>
    <mergeCell ref="F12:G12"/>
    <mergeCell ref="I12:J12"/>
    <mergeCell ref="B24:D24"/>
    <mergeCell ref="E24:G24"/>
    <mergeCell ref="H24:J24"/>
    <mergeCell ref="B19:C19"/>
    <mergeCell ref="E19:G19"/>
    <mergeCell ref="H19:J19"/>
    <mergeCell ref="B20:C20"/>
    <mergeCell ref="E20:G20"/>
    <mergeCell ref="H20:I20"/>
    <mergeCell ref="B21:D21"/>
    <mergeCell ref="E21:G21"/>
    <mergeCell ref="H21:J21"/>
    <mergeCell ref="H22:J22"/>
    <mergeCell ref="H23:J23"/>
    <mergeCell ref="B25:D25"/>
    <mergeCell ref="E25:G25"/>
    <mergeCell ref="H25:J25"/>
    <mergeCell ref="B26:D26"/>
    <mergeCell ref="E26:G26"/>
    <mergeCell ref="H26:J26"/>
    <mergeCell ref="B27:D27"/>
    <mergeCell ref="E27:G27"/>
    <mergeCell ref="H27:J27"/>
    <mergeCell ref="B28:D28"/>
    <mergeCell ref="E28:G28"/>
    <mergeCell ref="H28:J28"/>
    <mergeCell ref="B29:D29"/>
    <mergeCell ref="E29:G29"/>
    <mergeCell ref="H29:J29"/>
    <mergeCell ref="B30:D30"/>
    <mergeCell ref="E30:G30"/>
    <mergeCell ref="H30:J30"/>
    <mergeCell ref="B31:D31"/>
    <mergeCell ref="E31:G31"/>
    <mergeCell ref="H31:J31"/>
    <mergeCell ref="B32:D32"/>
    <mergeCell ref="E32:G32"/>
    <mergeCell ref="H32:J32"/>
    <mergeCell ref="C33:D33"/>
    <mergeCell ref="F33:G33"/>
    <mergeCell ref="I33:J33"/>
    <mergeCell ref="B34:D34"/>
    <mergeCell ref="E34:G34"/>
    <mergeCell ref="H34:J34"/>
    <mergeCell ref="A38:J38"/>
    <mergeCell ref="E39:I39"/>
    <mergeCell ref="E40:I40"/>
    <mergeCell ref="E41:I41"/>
    <mergeCell ref="B13:C13"/>
    <mergeCell ref="B14:C14"/>
    <mergeCell ref="B15:C15"/>
    <mergeCell ref="B16:C16"/>
    <mergeCell ref="B17:C17"/>
    <mergeCell ref="F13:G13"/>
    <mergeCell ref="B36:D36"/>
    <mergeCell ref="E36:G36"/>
    <mergeCell ref="H36:J36"/>
    <mergeCell ref="B37:D37"/>
    <mergeCell ref="E37:G37"/>
    <mergeCell ref="H37:J37"/>
    <mergeCell ref="I13:J13"/>
    <mergeCell ref="I14:J14"/>
    <mergeCell ref="I15:J15"/>
    <mergeCell ref="I16:J16"/>
    <mergeCell ref="I17:J17"/>
    <mergeCell ref="B18:C18"/>
    <mergeCell ref="F18:G18"/>
    <mergeCell ref="I18:J18"/>
    <mergeCell ref="F14:G14"/>
    <mergeCell ref="F15:G15"/>
    <mergeCell ref="F16:G16"/>
    <mergeCell ref="F17:G17"/>
    <mergeCell ref="A43:D43"/>
    <mergeCell ref="E43:I43"/>
    <mergeCell ref="A39:D39"/>
    <mergeCell ref="A40:D40"/>
    <mergeCell ref="A41:D41"/>
    <mergeCell ref="A42:D42"/>
    <mergeCell ref="E42:I42"/>
  </mergeCells>
  <dataValidations count="2">
    <dataValidation type="list" allowBlank="1" showInputMessage="1" showErrorMessage="1" sqref="A12:A18" xr:uid="{90A88815-3B59-413A-AB5D-8702B21F519C}">
      <formula1>$L$57:$L$80</formula1>
    </dataValidation>
    <dataValidation allowBlank="1" showInputMessage="1" showErrorMessage="1" promptTitle="Введите свой город" sqref="D19 E22:E23 A26:B26 H26 B22:B23 A25 E26 E12:E18" xr:uid="{48F1E4E8-A159-46B4-B37F-71AB9C6DC184}"/>
  </dataValidations>
  <pageMargins left="0" right="0" top="0" bottom="0" header="0.31496062992125984" footer="0"/>
  <pageSetup paperSize="9" orientation="portrait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B5C7-2261-4309-944E-FD654AB881CB}">
  <dimension ref="B1:N20"/>
  <sheetViews>
    <sheetView showGridLines="0" workbookViewId="0">
      <selection activeCell="N12" sqref="N12"/>
    </sheetView>
  </sheetViews>
  <sheetFormatPr defaultRowHeight="14.25" x14ac:dyDescent="0.2"/>
  <cols>
    <col min="1" max="1" width="2.85546875" style="159" customWidth="1"/>
    <col min="2" max="2" width="2.7109375" style="159" customWidth="1"/>
    <col min="3" max="3" width="20.5703125" style="159" customWidth="1"/>
    <col min="4" max="4" width="3" style="159" customWidth="1"/>
    <col min="5" max="5" width="5" style="159" customWidth="1"/>
    <col min="6" max="6" width="12.5703125" style="159" customWidth="1"/>
    <col min="7" max="7" width="10.42578125" style="159" customWidth="1"/>
    <col min="8" max="8" width="12.28515625" style="159" customWidth="1"/>
    <col min="9" max="9" width="11.28515625" style="159" customWidth="1"/>
    <col min="10" max="10" width="12.42578125" style="159" customWidth="1"/>
    <col min="11" max="11" width="13.140625" style="159" customWidth="1"/>
    <col min="12" max="12" width="0.42578125" style="159" customWidth="1"/>
    <col min="13" max="13" width="4.28515625" style="159" customWidth="1"/>
    <col min="14" max="14" width="40" style="159" customWidth="1"/>
    <col min="15" max="16384" width="9.140625" style="159"/>
  </cols>
  <sheetData>
    <row r="1" spans="2:14" s="127" customFormat="1" ht="53.25" customHeight="1" x14ac:dyDescent="0.25">
      <c r="B1" s="308" t="s">
        <v>180</v>
      </c>
      <c r="C1" s="308"/>
      <c r="D1" s="308"/>
      <c r="E1" s="308"/>
      <c r="F1" s="308"/>
      <c r="G1" s="308"/>
      <c r="H1" s="308"/>
      <c r="I1" s="308"/>
      <c r="J1" s="308"/>
      <c r="K1" s="308"/>
      <c r="N1" s="309"/>
    </row>
    <row r="2" spans="2:14" s="127" customFormat="1" ht="22.5" customHeight="1" x14ac:dyDescent="0.25">
      <c r="B2" s="310" t="s">
        <v>181</v>
      </c>
      <c r="C2" s="310"/>
      <c r="D2" s="310"/>
      <c r="E2" s="311" t="s">
        <v>182</v>
      </c>
      <c r="F2" s="311"/>
      <c r="G2" s="311"/>
      <c r="H2" s="311"/>
      <c r="I2" s="311"/>
      <c r="J2" s="311"/>
      <c r="K2" s="311"/>
      <c r="L2" s="311"/>
      <c r="N2" s="309"/>
    </row>
    <row r="3" spans="2:14" s="127" customFormat="1" ht="22.5" customHeight="1" x14ac:dyDescent="0.25">
      <c r="B3" s="128"/>
      <c r="C3" s="129" t="s">
        <v>104</v>
      </c>
      <c r="D3" s="128"/>
      <c r="E3" s="130"/>
      <c r="F3" s="130"/>
      <c r="G3" s="131" t="s">
        <v>183</v>
      </c>
      <c r="H3" s="131" t="s">
        <v>184</v>
      </c>
      <c r="I3" s="131" t="s">
        <v>185</v>
      </c>
      <c r="J3" s="130"/>
      <c r="K3" s="130"/>
      <c r="L3" s="130"/>
      <c r="N3" s="132"/>
    </row>
    <row r="4" spans="2:14" s="127" customFormat="1" ht="22.5" customHeight="1" thickBot="1" x14ac:dyDescent="0.3">
      <c r="B4" s="128"/>
      <c r="C4" s="133">
        <f>H18</f>
        <v>42668</v>
      </c>
      <c r="D4" s="128"/>
      <c r="E4" s="130"/>
      <c r="F4" s="134" t="s">
        <v>186</v>
      </c>
      <c r="G4" s="135">
        <f>H14/H18</f>
        <v>0.84212993343957998</v>
      </c>
      <c r="H4" s="136">
        <f>K14</f>
        <v>1437.28</v>
      </c>
      <c r="I4" s="137">
        <f>H4/C6</f>
        <v>0.84212993343957998</v>
      </c>
      <c r="J4" s="312" t="s">
        <v>187</v>
      </c>
      <c r="K4" s="313">
        <f>C4</f>
        <v>42668</v>
      </c>
      <c r="L4" s="130"/>
    </row>
    <row r="5" spans="2:14" s="127" customFormat="1" ht="22.5" customHeight="1" thickTop="1" thickBot="1" x14ac:dyDescent="0.3">
      <c r="B5" s="128"/>
      <c r="C5" s="138" t="s">
        <v>69</v>
      </c>
      <c r="D5" s="128"/>
      <c r="E5" s="130"/>
      <c r="F5" s="134" t="s">
        <v>174</v>
      </c>
      <c r="G5" s="139">
        <f>H15/H18</f>
        <v>9.4684541108090367E-3</v>
      </c>
      <c r="H5" s="136">
        <f>K15</f>
        <v>16.16</v>
      </c>
      <c r="I5" s="140">
        <f>H5/C6</f>
        <v>9.4684541108090367E-3</v>
      </c>
      <c r="J5" s="312"/>
      <c r="K5" s="314"/>
      <c r="L5" s="141"/>
      <c r="N5" s="142"/>
    </row>
    <row r="6" spans="2:14" s="127" customFormat="1" ht="22.5" customHeight="1" thickTop="1" thickBot="1" x14ac:dyDescent="0.3">
      <c r="B6" s="128"/>
      <c r="C6" s="143">
        <f>K18</f>
        <v>1706.72</v>
      </c>
      <c r="D6" s="128"/>
      <c r="E6" s="130"/>
      <c r="F6" s="134" t="s">
        <v>160</v>
      </c>
      <c r="G6" s="144">
        <f>H16/H18</f>
        <v>7.5747632886472294E-2</v>
      </c>
      <c r="H6" s="136">
        <f>K16</f>
        <v>129.28</v>
      </c>
      <c r="I6" s="140">
        <f>H6/C6</f>
        <v>7.5747632886472294E-2</v>
      </c>
      <c r="J6" s="312"/>
      <c r="K6" s="314"/>
      <c r="L6" s="141"/>
      <c r="N6" s="142"/>
    </row>
    <row r="7" spans="2:14" s="127" customFormat="1" ht="22.5" customHeight="1" thickTop="1" thickBot="1" x14ac:dyDescent="0.3">
      <c r="B7" s="128"/>
      <c r="C7" s="129" t="s">
        <v>188</v>
      </c>
      <c r="D7" s="128"/>
      <c r="E7" s="130"/>
      <c r="F7" s="145" t="s">
        <v>189</v>
      </c>
      <c r="G7" s="146">
        <f>H17/H18</f>
        <v>7.2653979563138654E-2</v>
      </c>
      <c r="H7" s="136">
        <f>K17</f>
        <v>124</v>
      </c>
      <c r="I7" s="147">
        <f>H7/C6</f>
        <v>7.2653979563138654E-2</v>
      </c>
      <c r="J7" s="148" t="s">
        <v>190</v>
      </c>
      <c r="K7" s="130"/>
      <c r="L7" s="130"/>
      <c r="N7" s="142"/>
    </row>
    <row r="8" spans="2:14" s="127" customFormat="1" ht="22.5" customHeight="1" thickTop="1" thickBot="1" x14ac:dyDescent="0.3">
      <c r="B8" s="128"/>
      <c r="C8" s="149">
        <f>H7</f>
        <v>124</v>
      </c>
      <c r="D8" s="128"/>
      <c r="E8" s="130"/>
      <c r="F8" s="134"/>
      <c r="G8" s="150"/>
      <c r="H8" s="151"/>
      <c r="I8" s="152"/>
      <c r="J8" s="130"/>
      <c r="K8" s="130"/>
      <c r="L8" s="130"/>
      <c r="N8" s="132"/>
    </row>
    <row r="9" spans="2:14" s="127" customFormat="1" ht="10.5" customHeight="1" thickTop="1" x14ac:dyDescent="0.25">
      <c r="B9" s="128"/>
      <c r="C9" s="128"/>
      <c r="D9" s="128"/>
      <c r="E9" s="130"/>
      <c r="F9" s="130"/>
      <c r="G9" s="130"/>
      <c r="H9" s="130"/>
      <c r="I9" s="130"/>
      <c r="J9" s="130"/>
      <c r="K9" s="130"/>
      <c r="L9" s="130"/>
    </row>
    <row r="10" spans="2:14" s="127" customFormat="1" ht="15.75" customHeight="1" x14ac:dyDescent="0.25">
      <c r="B10" s="302" t="s">
        <v>202</v>
      </c>
      <c r="C10" s="302"/>
      <c r="D10" s="302"/>
      <c r="E10" s="302"/>
      <c r="F10" s="302"/>
      <c r="G10" s="302"/>
      <c r="H10" s="302"/>
      <c r="I10" s="302"/>
      <c r="J10" s="302"/>
      <c r="K10" s="302"/>
      <c r="L10" s="302"/>
    </row>
    <row r="11" spans="2:14" s="127" customFormat="1" ht="16.5" customHeight="1" x14ac:dyDescent="0.25">
      <c r="B11" s="303" t="s">
        <v>203</v>
      </c>
      <c r="C11" s="303"/>
      <c r="D11" s="303"/>
      <c r="E11" s="303"/>
      <c r="F11" s="303"/>
      <c r="G11" s="303"/>
      <c r="H11" s="303"/>
      <c r="I11" s="303"/>
      <c r="J11" s="303"/>
      <c r="K11" s="303"/>
      <c r="L11" s="303"/>
    </row>
    <row r="12" spans="2:14" s="127" customFormat="1" ht="22.5" customHeight="1" x14ac:dyDescent="0.25">
      <c r="B12" s="153"/>
      <c r="C12" s="154" t="s">
        <v>191</v>
      </c>
      <c r="D12" s="155"/>
      <c r="E12" s="155"/>
      <c r="F12" s="155"/>
      <c r="G12" s="155"/>
      <c r="H12" s="155"/>
      <c r="I12" s="155"/>
      <c r="J12" s="155"/>
      <c r="K12" s="155"/>
      <c r="L12" s="155"/>
    </row>
    <row r="13" spans="2:14" ht="22.5" customHeight="1" x14ac:dyDescent="0.2">
      <c r="B13" s="156"/>
      <c r="C13" s="304" t="s">
        <v>192</v>
      </c>
      <c r="D13" s="304"/>
      <c r="E13" s="156"/>
      <c r="F13" s="156" t="s">
        <v>193</v>
      </c>
      <c r="G13" s="156"/>
      <c r="H13" s="305" t="s">
        <v>194</v>
      </c>
      <c r="I13" s="305"/>
      <c r="J13" s="131" t="s">
        <v>195</v>
      </c>
      <c r="K13" s="157" t="s">
        <v>196</v>
      </c>
      <c r="L13" s="158"/>
    </row>
    <row r="14" spans="2:14" ht="18.75" customHeight="1" x14ac:dyDescent="0.2">
      <c r="B14" s="160"/>
      <c r="C14" s="160" t="s">
        <v>197</v>
      </c>
      <c r="D14" s="160"/>
      <c r="E14" s="160"/>
      <c r="F14" s="161" t="s">
        <v>186</v>
      </c>
      <c r="G14" s="162"/>
      <c r="H14" s="306">
        <v>35932</v>
      </c>
      <c r="I14" s="307"/>
      <c r="J14" s="163">
        <v>0.04</v>
      </c>
      <c r="K14" s="164">
        <f>IF(ISBLANK(J14),0,IF(ISBLANK(H14),J14,H14*J14))</f>
        <v>1437.28</v>
      </c>
      <c r="L14" s="165"/>
      <c r="N14" s="132"/>
    </row>
    <row r="15" spans="2:14" ht="18.75" customHeight="1" x14ac:dyDescent="0.2">
      <c r="B15" s="166"/>
      <c r="C15" s="166" t="s">
        <v>16</v>
      </c>
      <c r="D15" s="166"/>
      <c r="E15" s="166"/>
      <c r="F15" s="167" t="s">
        <v>174</v>
      </c>
      <c r="G15" s="168"/>
      <c r="H15" s="296">
        <v>404</v>
      </c>
      <c r="I15" s="297"/>
      <c r="J15" s="169">
        <v>0.04</v>
      </c>
      <c r="K15" s="164">
        <f t="shared" ref="K15" si="0">IF(ISBLANK(J15),0,IF(ISBLANK(H15),J15,H15*J15))</f>
        <v>16.16</v>
      </c>
      <c r="L15" s="170"/>
    </row>
    <row r="16" spans="2:14" ht="18.75" customHeight="1" x14ac:dyDescent="0.2">
      <c r="B16" s="166"/>
      <c r="C16" s="166" t="s">
        <v>198</v>
      </c>
      <c r="D16" s="166"/>
      <c r="E16" s="166"/>
      <c r="F16" s="167" t="s">
        <v>160</v>
      </c>
      <c r="G16" s="168"/>
      <c r="H16" s="296">
        <v>3232</v>
      </c>
      <c r="I16" s="297"/>
      <c r="J16" s="171">
        <v>0.04</v>
      </c>
      <c r="K16" s="164">
        <f>IF(ISBLANK(J16),0,IF(ISBLANK(H16),J16,H16*J16))</f>
        <v>129.28</v>
      </c>
      <c r="L16" s="170"/>
      <c r="N16" s="132"/>
    </row>
    <row r="17" spans="2:14" ht="18.75" customHeight="1" thickBot="1" x14ac:dyDescent="0.25">
      <c r="B17" s="166"/>
      <c r="C17" s="172" t="s">
        <v>199</v>
      </c>
      <c r="D17" s="166"/>
      <c r="E17" s="166"/>
      <c r="F17" s="173" t="s">
        <v>189</v>
      </c>
      <c r="G17" s="174"/>
      <c r="H17" s="298">
        <v>3100</v>
      </c>
      <c r="I17" s="299"/>
      <c r="J17" s="175">
        <v>0.04</v>
      </c>
      <c r="K17" s="176">
        <f>IF(ISBLANK(J17),0,IF(ISBLANK(H17),J17,H17*J17))</f>
        <v>124</v>
      </c>
      <c r="L17" s="170"/>
      <c r="N17" s="132"/>
    </row>
    <row r="18" spans="2:14" ht="27" customHeight="1" thickTop="1" x14ac:dyDescent="0.2">
      <c r="B18" s="300" t="s">
        <v>14</v>
      </c>
      <c r="C18" s="300"/>
      <c r="D18" s="300"/>
      <c r="E18" s="300"/>
      <c r="F18" s="300"/>
      <c r="G18" s="300"/>
      <c r="H18" s="301">
        <f>SUM(H14:H17)</f>
        <v>42668</v>
      </c>
      <c r="I18" s="301"/>
      <c r="J18" s="177">
        <f>AVERAGE(J14:J17)</f>
        <v>0.04</v>
      </c>
      <c r="K18" s="178">
        <f>SUM(K14:K17)</f>
        <v>1706.72</v>
      </c>
      <c r="L18" s="179"/>
    </row>
    <row r="20" spans="2:14" x14ac:dyDescent="0.2">
      <c r="B20" s="159" t="s">
        <v>204</v>
      </c>
    </row>
  </sheetData>
  <mergeCells count="16">
    <mergeCell ref="B1:K1"/>
    <mergeCell ref="N1:N2"/>
    <mergeCell ref="B2:D2"/>
    <mergeCell ref="E2:L2"/>
    <mergeCell ref="J4:J6"/>
    <mergeCell ref="K4:K6"/>
    <mergeCell ref="H16:I16"/>
    <mergeCell ref="H17:I17"/>
    <mergeCell ref="B18:G18"/>
    <mergeCell ref="H18:I18"/>
    <mergeCell ref="B10:L10"/>
    <mergeCell ref="B11:L11"/>
    <mergeCell ref="C13:D13"/>
    <mergeCell ref="H13:I13"/>
    <mergeCell ref="H14:I14"/>
    <mergeCell ref="H15:I15"/>
  </mergeCells>
  <dataValidations count="1">
    <dataValidation type="list" allowBlank="1" showInputMessage="1" showErrorMessage="1" sqref="F14:F17" xr:uid="{2D111962-7E55-4B75-82A0-3609AB388F82}">
      <formula1>$F$4:$F$8</formula1>
    </dataValidation>
  </dataValidations>
  <pageMargins left="0" right="0" top="0" bottom="0" header="0.23622047244094491" footer="0.23622047244094491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058B6-711E-4AD5-A0B7-EEB39B1228C0}">
  <dimension ref="B1:N17"/>
  <sheetViews>
    <sheetView workbookViewId="0">
      <selection activeCell="H15" sqref="H15:I15"/>
    </sheetView>
  </sheetViews>
  <sheetFormatPr defaultRowHeight="15" x14ac:dyDescent="0.25"/>
  <cols>
    <col min="1" max="1" width="2.140625" style="184" customWidth="1"/>
    <col min="2" max="2" width="6.85546875" style="184" customWidth="1"/>
    <col min="3" max="3" width="9.140625" style="184"/>
    <col min="4" max="4" width="8.5703125" style="184" customWidth="1"/>
    <col min="5" max="5" width="5.5703125" style="184" customWidth="1"/>
    <col min="6" max="8" width="9.140625" style="184"/>
    <col min="9" max="9" width="11.7109375" style="184" customWidth="1"/>
    <col min="10" max="10" width="11" style="184" customWidth="1"/>
    <col min="11" max="11" width="9.140625" style="184"/>
    <col min="12" max="12" width="7.7109375" style="184" customWidth="1"/>
    <col min="13" max="16384" width="9.140625" style="184"/>
  </cols>
  <sheetData>
    <row r="1" spans="2:14" s="127" customFormat="1" ht="53.25" customHeight="1" x14ac:dyDescent="0.25">
      <c r="B1" s="308" t="s">
        <v>200</v>
      </c>
      <c r="C1" s="308"/>
      <c r="D1" s="308"/>
      <c r="E1" s="308"/>
      <c r="F1" s="308"/>
      <c r="G1" s="308"/>
      <c r="H1" s="308"/>
      <c r="I1" s="308"/>
      <c r="J1" s="308"/>
      <c r="K1" s="308"/>
      <c r="N1" s="309"/>
    </row>
    <row r="2" spans="2:14" s="127" customFormat="1" ht="22.5" customHeight="1" x14ac:dyDescent="0.25">
      <c r="B2" s="310" t="s">
        <v>181</v>
      </c>
      <c r="C2" s="310"/>
      <c r="D2" s="310"/>
      <c r="E2" s="311" t="s">
        <v>182</v>
      </c>
      <c r="F2" s="311"/>
      <c r="G2" s="311"/>
      <c r="H2" s="311"/>
      <c r="I2" s="311"/>
      <c r="J2" s="311"/>
      <c r="K2" s="311"/>
      <c r="L2" s="311"/>
      <c r="N2" s="309"/>
    </row>
    <row r="3" spans="2:14" s="127" customFormat="1" ht="22.5" customHeight="1" x14ac:dyDescent="0.25">
      <c r="B3" s="128"/>
      <c r="C3" s="129" t="s">
        <v>104</v>
      </c>
      <c r="D3" s="128"/>
      <c r="E3" s="130"/>
      <c r="F3" s="130"/>
      <c r="G3" s="131" t="s">
        <v>183</v>
      </c>
      <c r="H3" s="131" t="s">
        <v>184</v>
      </c>
      <c r="I3" s="131" t="s">
        <v>185</v>
      </c>
      <c r="J3" s="130"/>
      <c r="K3" s="130"/>
      <c r="L3" s="130"/>
      <c r="N3" s="132"/>
    </row>
    <row r="4" spans="2:14" s="127" customFormat="1" ht="22.5" customHeight="1" thickBot="1" x14ac:dyDescent="0.3">
      <c r="B4" s="128"/>
      <c r="C4" s="180">
        <f>H15</f>
        <v>42775</v>
      </c>
      <c r="D4" s="128"/>
      <c r="E4" s="130"/>
      <c r="F4" s="134" t="s">
        <v>186</v>
      </c>
      <c r="G4" s="135">
        <f>H12/H15</f>
        <v>0.83001753360607833</v>
      </c>
      <c r="H4" s="136">
        <f>SUMIF($F$12:$F$14,"="&amp;F4,$K$12:$K$14)</f>
        <v>1420.16</v>
      </c>
      <c r="I4" s="137">
        <f>H4/C6</f>
        <v>0.83001753360607822</v>
      </c>
      <c r="J4" s="312" t="s">
        <v>187</v>
      </c>
      <c r="K4" s="313">
        <f>C4</f>
        <v>42775</v>
      </c>
      <c r="L4" s="130"/>
    </row>
    <row r="5" spans="2:14" s="127" customFormat="1" ht="22.5" customHeight="1" thickTop="1" thickBot="1" x14ac:dyDescent="0.3">
      <c r="B5" s="128"/>
      <c r="C5" s="138" t="s">
        <v>69</v>
      </c>
      <c r="D5" s="128"/>
      <c r="E5" s="130"/>
      <c r="F5" s="134" t="s">
        <v>174</v>
      </c>
      <c r="G5" s="139">
        <f>H13/H15</f>
        <v>1.0613676212741088E-2</v>
      </c>
      <c r="H5" s="136">
        <f>SUMIF($F$12:$F$14,"="&amp;F5,$K$12:$K$14)</f>
        <v>18.16</v>
      </c>
      <c r="I5" s="140">
        <f>H5/C6</f>
        <v>1.0613676212741086E-2</v>
      </c>
      <c r="J5" s="312"/>
      <c r="K5" s="314"/>
      <c r="L5" s="141"/>
      <c r="N5" s="142"/>
    </row>
    <row r="6" spans="2:14" s="127" customFormat="1" ht="22.5" customHeight="1" thickTop="1" thickBot="1" x14ac:dyDescent="0.3">
      <c r="B6" s="128"/>
      <c r="C6" s="143">
        <f>K15</f>
        <v>1711.0000000000002</v>
      </c>
      <c r="D6" s="128"/>
      <c r="E6" s="130"/>
      <c r="F6" s="134" t="s">
        <v>160</v>
      </c>
      <c r="G6" s="144">
        <f>H14/H15</f>
        <v>0.15936879018118061</v>
      </c>
      <c r="H6" s="136">
        <f>SUMIF($F$12:$F$14,"="&amp;F6,$K$12:$K$14)</f>
        <v>272.68</v>
      </c>
      <c r="I6" s="140">
        <f>H6/C6</f>
        <v>0.15936879018118058</v>
      </c>
      <c r="J6" s="312"/>
      <c r="K6" s="314"/>
      <c r="L6" s="141"/>
      <c r="N6" s="142"/>
    </row>
    <row r="7" spans="2:14" s="127" customFormat="1" ht="22.5" customHeight="1" thickTop="1" thickBot="1" x14ac:dyDescent="0.3">
      <c r="B7" s="128"/>
      <c r="C7" s="129"/>
      <c r="D7" s="128"/>
      <c r="E7" s="130"/>
      <c r="F7" s="134"/>
      <c r="G7" s="150"/>
      <c r="H7" s="151"/>
      <c r="I7" s="181"/>
      <c r="J7" s="182"/>
      <c r="K7" s="130"/>
      <c r="L7" s="130"/>
      <c r="N7" s="142"/>
    </row>
    <row r="8" spans="2:14" s="127" customFormat="1" ht="15.75" customHeight="1" thickTop="1" x14ac:dyDescent="0.25"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</row>
    <row r="9" spans="2:14" s="127" customFormat="1" ht="16.5" customHeight="1" x14ac:dyDescent="0.25"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</row>
    <row r="10" spans="2:14" s="127" customFormat="1" ht="22.5" customHeight="1" x14ac:dyDescent="0.25">
      <c r="B10" s="153"/>
      <c r="C10" s="154" t="s">
        <v>191</v>
      </c>
      <c r="D10" s="155"/>
      <c r="E10" s="155"/>
      <c r="F10" s="155"/>
      <c r="G10" s="155"/>
      <c r="H10" s="155"/>
      <c r="I10" s="155"/>
      <c r="J10" s="155"/>
      <c r="K10" s="155"/>
      <c r="L10" s="155"/>
    </row>
    <row r="11" spans="2:14" s="159" customFormat="1" ht="22.5" customHeight="1" x14ac:dyDescent="0.2">
      <c r="B11" s="327" t="s">
        <v>192</v>
      </c>
      <c r="C11" s="327"/>
      <c r="D11" s="327"/>
      <c r="E11" s="327"/>
      <c r="F11" s="156" t="s">
        <v>193</v>
      </c>
      <c r="G11" s="156"/>
      <c r="H11" s="305" t="s">
        <v>194</v>
      </c>
      <c r="I11" s="305"/>
      <c r="J11" s="131" t="s">
        <v>195</v>
      </c>
      <c r="K11" s="305" t="s">
        <v>196</v>
      </c>
      <c r="L11" s="305"/>
    </row>
    <row r="12" spans="2:14" s="159" customFormat="1" ht="18.75" customHeight="1" x14ac:dyDescent="0.2">
      <c r="B12" s="324" t="s">
        <v>197</v>
      </c>
      <c r="C12" s="324"/>
      <c r="D12" s="324"/>
      <c r="E12" s="160"/>
      <c r="F12" s="161" t="s">
        <v>186</v>
      </c>
      <c r="G12" s="162"/>
      <c r="H12" s="306">
        <v>35504</v>
      </c>
      <c r="I12" s="307"/>
      <c r="J12" s="163">
        <v>0.04</v>
      </c>
      <c r="K12" s="325">
        <f>IF(ISBLANK(J12),0,IF(ISBLANK(H12),J12,H12*J12))</f>
        <v>1420.16</v>
      </c>
      <c r="L12" s="326"/>
      <c r="N12" s="132"/>
    </row>
    <row r="13" spans="2:14" s="159" customFormat="1" ht="18.75" customHeight="1" x14ac:dyDescent="0.2">
      <c r="B13" s="316" t="s">
        <v>16</v>
      </c>
      <c r="C13" s="316"/>
      <c r="D13" s="316"/>
      <c r="E13" s="166"/>
      <c r="F13" s="167" t="s">
        <v>174</v>
      </c>
      <c r="G13" s="168"/>
      <c r="H13" s="296">
        <v>454</v>
      </c>
      <c r="I13" s="297"/>
      <c r="J13" s="169">
        <v>0.04</v>
      </c>
      <c r="K13" s="317">
        <f t="shared" ref="K13" si="0">IF(ISBLANK(J13),0,IF(ISBLANK(H13),J13,H13*J13))</f>
        <v>18.16</v>
      </c>
      <c r="L13" s="318"/>
    </row>
    <row r="14" spans="2:14" s="159" customFormat="1" ht="18.75" customHeight="1" thickBot="1" x14ac:dyDescent="0.25">
      <c r="B14" s="319" t="s">
        <v>198</v>
      </c>
      <c r="C14" s="319"/>
      <c r="D14" s="183"/>
      <c r="E14" s="166"/>
      <c r="F14" s="167" t="s">
        <v>160</v>
      </c>
      <c r="G14" s="168"/>
      <c r="H14" s="320">
        <v>6817</v>
      </c>
      <c r="I14" s="321"/>
      <c r="J14" s="171">
        <v>0.04</v>
      </c>
      <c r="K14" s="322">
        <f>IF(ISBLANK(J14),0,IF(ISBLANK(H14),J14,H14*J14))</f>
        <v>272.68</v>
      </c>
      <c r="L14" s="323"/>
      <c r="N14" s="132"/>
    </row>
    <row r="15" spans="2:14" s="159" customFormat="1" ht="27" customHeight="1" thickTop="1" x14ac:dyDescent="0.2">
      <c r="B15" s="300" t="s">
        <v>14</v>
      </c>
      <c r="C15" s="300"/>
      <c r="D15" s="300"/>
      <c r="E15" s="300"/>
      <c r="F15" s="300"/>
      <c r="G15" s="300"/>
      <c r="H15" s="301">
        <f>SUM(H12:H14)</f>
        <v>42775</v>
      </c>
      <c r="I15" s="301"/>
      <c r="J15" s="177">
        <f>AVERAGE(J12:J14)</f>
        <v>0.04</v>
      </c>
      <c r="K15" s="315">
        <f>SUM(K12:K14)</f>
        <v>1711.0000000000002</v>
      </c>
      <c r="L15" s="315"/>
    </row>
    <row r="16" spans="2:14" s="159" customFormat="1" ht="14.25" x14ac:dyDescent="0.2"/>
    <row r="17" s="159" customFormat="1" ht="14.25" x14ac:dyDescent="0.2"/>
  </sheetData>
  <mergeCells count="23">
    <mergeCell ref="B12:D12"/>
    <mergeCell ref="H12:I12"/>
    <mergeCell ref="K12:L12"/>
    <mergeCell ref="B1:K1"/>
    <mergeCell ref="N1:N2"/>
    <mergeCell ref="B2:D2"/>
    <mergeCell ref="E2:L2"/>
    <mergeCell ref="J4:J6"/>
    <mergeCell ref="K4:K6"/>
    <mergeCell ref="B8:L8"/>
    <mergeCell ref="B9:L9"/>
    <mergeCell ref="B11:E11"/>
    <mergeCell ref="H11:I11"/>
    <mergeCell ref="K11:L11"/>
    <mergeCell ref="B15:G15"/>
    <mergeCell ref="H15:I15"/>
    <mergeCell ref="K15:L15"/>
    <mergeCell ref="B13:D13"/>
    <mergeCell ref="H13:I13"/>
    <mergeCell ref="K13:L13"/>
    <mergeCell ref="B14:C14"/>
    <mergeCell ref="H14:I14"/>
    <mergeCell ref="K14:L14"/>
  </mergeCells>
  <dataValidations count="1">
    <dataValidation type="list" allowBlank="1" showInputMessage="1" showErrorMessage="1" sqref="F12:F14" xr:uid="{FE906FD8-65CA-4BB6-BCEB-9D957F9AD24F}">
      <formula1>$F$4:$F$7</formula1>
    </dataValidation>
  </dataValidations>
  <pageMargins left="0" right="0" top="0" bottom="0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AA29-15C3-4137-9BC4-3D9D1FDD65ED}">
  <dimension ref="A1:N646"/>
  <sheetViews>
    <sheetView workbookViewId="0">
      <selection activeCell="J1" sqref="J1:N2"/>
    </sheetView>
  </sheetViews>
  <sheetFormatPr defaultRowHeight="15" outlineLevelRow="2" outlineLevelCol="1" x14ac:dyDescent="0.25"/>
  <cols>
    <col min="1" max="1" width="22.42578125" customWidth="1"/>
    <col min="2" max="2" width="12.42578125" customWidth="1"/>
    <col min="3" max="3" width="18.28515625" customWidth="1"/>
    <col min="4" max="4" width="14.42578125" customWidth="1"/>
    <col min="5" max="6" width="20.7109375" hidden="1" customWidth="1" outlineLevel="1"/>
    <col min="7" max="7" width="23" hidden="1" customWidth="1" outlineLevel="1"/>
    <col min="8" max="8" width="17.5703125" customWidth="1" collapsed="1"/>
    <col min="9" max="9" width="15.7109375" customWidth="1"/>
    <col min="10" max="10" width="28" customWidth="1"/>
  </cols>
  <sheetData>
    <row r="1" spans="1:14" ht="27" customHeight="1" x14ac:dyDescent="0.25">
      <c r="A1" s="335" t="s">
        <v>26</v>
      </c>
      <c r="B1" s="335"/>
      <c r="C1" s="335"/>
      <c r="D1" s="336" t="s">
        <v>20</v>
      </c>
      <c r="E1" s="335" t="s">
        <v>27</v>
      </c>
      <c r="F1" s="20" t="s">
        <v>21</v>
      </c>
      <c r="G1" s="20" t="s">
        <v>21</v>
      </c>
      <c r="H1" s="20" t="s">
        <v>22</v>
      </c>
      <c r="I1" s="337" t="s">
        <v>28</v>
      </c>
      <c r="J1" s="328" t="s">
        <v>18</v>
      </c>
      <c r="K1" s="328"/>
      <c r="L1" s="328"/>
      <c r="M1" s="328"/>
      <c r="N1" s="328"/>
    </row>
    <row r="2" spans="1:14" ht="53.25" customHeight="1" x14ac:dyDescent="0.25">
      <c r="A2" s="335"/>
      <c r="B2" s="335"/>
      <c r="C2" s="335"/>
      <c r="D2" s="336"/>
      <c r="E2" s="335"/>
      <c r="F2" s="19" t="s">
        <v>41</v>
      </c>
      <c r="G2" s="19" t="s">
        <v>29</v>
      </c>
      <c r="H2" s="19" t="s">
        <v>23</v>
      </c>
      <c r="I2" s="337"/>
      <c r="J2" s="328"/>
      <c r="K2" s="328"/>
      <c r="L2" s="328"/>
      <c r="M2" s="328"/>
      <c r="N2" s="328"/>
    </row>
    <row r="3" spans="1:14" x14ac:dyDescent="0.25">
      <c r="A3" s="329" t="s">
        <v>19</v>
      </c>
      <c r="B3" s="329"/>
      <c r="C3" s="21" t="s">
        <v>32</v>
      </c>
      <c r="D3" s="4"/>
      <c r="E3" s="4"/>
      <c r="F3" s="4"/>
      <c r="G3" s="7"/>
      <c r="H3" s="7"/>
      <c r="I3" s="6"/>
    </row>
    <row r="4" spans="1:14" ht="15" hidden="1" customHeight="1" outlineLevel="1" x14ac:dyDescent="0.25">
      <c r="A4" s="2" t="s">
        <v>1</v>
      </c>
      <c r="B4" s="2" t="s">
        <v>2</v>
      </c>
      <c r="C4" s="2"/>
      <c r="D4" s="4"/>
      <c r="E4" s="4"/>
      <c r="F4" s="4"/>
      <c r="G4" s="7"/>
      <c r="H4" s="7"/>
      <c r="I4" s="6"/>
    </row>
    <row r="5" spans="1:14" ht="15.75" hidden="1" customHeight="1" outlineLevel="1" x14ac:dyDescent="0.25">
      <c r="A5" s="16">
        <v>45199.999803240738</v>
      </c>
      <c r="B5" s="1">
        <v>142</v>
      </c>
      <c r="C5" s="17">
        <v>2.5000000000000001E-3</v>
      </c>
      <c r="D5" s="4"/>
      <c r="E5" s="4"/>
      <c r="F5" s="4"/>
      <c r="G5" s="7"/>
      <c r="H5" s="7"/>
      <c r="I5" s="6"/>
    </row>
    <row r="6" spans="1:14" ht="15.75" hidden="1" customHeight="1" outlineLevel="1" x14ac:dyDescent="0.25">
      <c r="A6" s="16">
        <v>45230.999803240738</v>
      </c>
      <c r="B6" s="1">
        <v>148</v>
      </c>
      <c r="C6" s="17">
        <v>2.5000000000000001E-3</v>
      </c>
      <c r="D6" s="4"/>
      <c r="E6" s="4"/>
      <c r="F6" s="4"/>
      <c r="G6" s="7"/>
      <c r="H6" s="7"/>
      <c r="I6" s="6"/>
    </row>
    <row r="7" spans="1:14" ht="15.75" hidden="1" customHeight="1" outlineLevel="1" x14ac:dyDescent="0.25">
      <c r="A7" s="16">
        <v>45260.999803240738</v>
      </c>
      <c r="B7" s="1">
        <v>160</v>
      </c>
      <c r="C7" s="17">
        <v>2.8E-3</v>
      </c>
      <c r="D7" s="4"/>
      <c r="E7" s="4"/>
      <c r="F7" s="4"/>
      <c r="G7" s="7"/>
      <c r="H7" s="7"/>
      <c r="I7" s="6"/>
    </row>
    <row r="8" spans="1:14" ht="15.75" hidden="1" customHeight="1" outlineLevel="1" x14ac:dyDescent="0.25">
      <c r="A8" s="16">
        <v>45291.999803240738</v>
      </c>
      <c r="B8" s="1">
        <v>87</v>
      </c>
      <c r="C8" s="17">
        <v>1.4E-3</v>
      </c>
      <c r="D8" s="4"/>
      <c r="E8" s="4"/>
      <c r="F8" s="4"/>
      <c r="G8" s="7"/>
      <c r="H8" s="7"/>
      <c r="I8" s="6"/>
    </row>
    <row r="9" spans="1:14" ht="15.75" hidden="1" customHeight="1" outlineLevel="1" x14ac:dyDescent="0.25">
      <c r="A9" s="16">
        <v>45322.999803240738</v>
      </c>
      <c r="B9" s="1">
        <v>171</v>
      </c>
      <c r="C9" s="17">
        <v>2.8999999999999998E-3</v>
      </c>
      <c r="D9" s="4"/>
      <c r="E9" s="4"/>
      <c r="F9" s="4"/>
      <c r="G9" s="7"/>
      <c r="H9" s="7"/>
      <c r="I9" s="6"/>
    </row>
    <row r="10" spans="1:14" ht="15.75" hidden="1" customHeight="1" outlineLevel="1" x14ac:dyDescent="0.25">
      <c r="A10" s="16">
        <v>45351.999803240738</v>
      </c>
      <c r="B10" s="1">
        <v>233</v>
      </c>
      <c r="C10" s="17">
        <v>4.1999999999999997E-3</v>
      </c>
      <c r="D10" s="4"/>
      <c r="E10" s="4"/>
      <c r="F10" s="4"/>
      <c r="G10" s="7"/>
      <c r="H10" s="7"/>
      <c r="I10" s="6"/>
    </row>
    <row r="11" spans="1:14" ht="15.75" hidden="1" customHeight="1" outlineLevel="1" x14ac:dyDescent="0.25">
      <c r="A11" s="16">
        <v>45382.999803240738</v>
      </c>
      <c r="B11" s="1">
        <v>234</v>
      </c>
      <c r="C11" s="17">
        <v>4.4000000000000003E-3</v>
      </c>
      <c r="D11" s="4"/>
      <c r="E11" s="4"/>
      <c r="F11" s="4"/>
      <c r="G11" s="7"/>
      <c r="H11" s="7"/>
      <c r="I11" s="6"/>
    </row>
    <row r="12" spans="1:14" ht="15.75" hidden="1" customHeight="1" outlineLevel="1" x14ac:dyDescent="0.25">
      <c r="A12" s="16">
        <v>45412.999803240738</v>
      </c>
      <c r="B12" s="1">
        <v>144</v>
      </c>
      <c r="C12" s="17">
        <v>2.8999999999999998E-3</v>
      </c>
      <c r="D12" s="4"/>
      <c r="E12" s="4"/>
      <c r="F12" s="4"/>
      <c r="G12" s="7"/>
      <c r="H12" s="7"/>
      <c r="I12" s="6"/>
    </row>
    <row r="13" spans="1:14" ht="15.75" hidden="1" customHeight="1" outlineLevel="1" x14ac:dyDescent="0.25">
      <c r="A13" s="16">
        <v>45443.999803240738</v>
      </c>
      <c r="B13" s="1">
        <v>190</v>
      </c>
      <c r="C13" s="17">
        <v>4.0000000000000001E-3</v>
      </c>
      <c r="D13" s="4"/>
      <c r="E13" s="4"/>
      <c r="F13" s="4"/>
      <c r="G13" s="7"/>
      <c r="H13" s="7"/>
      <c r="I13" s="6"/>
    </row>
    <row r="14" spans="1:14" ht="15.75" hidden="1" customHeight="1" outlineLevel="1" x14ac:dyDescent="0.25">
      <c r="A14" s="16">
        <v>45473.999803240738</v>
      </c>
      <c r="B14" s="1">
        <v>215</v>
      </c>
      <c r="C14" s="17">
        <v>4.4000000000000003E-3</v>
      </c>
      <c r="D14" s="4"/>
      <c r="E14" s="4"/>
      <c r="F14" s="4"/>
      <c r="G14" s="7"/>
      <c r="H14" s="7"/>
      <c r="I14" s="6"/>
    </row>
    <row r="15" spans="1:14" ht="15.75" hidden="1" customHeight="1" outlineLevel="1" x14ac:dyDescent="0.25">
      <c r="A15" s="16">
        <v>45504.999803240738</v>
      </c>
      <c r="B15" s="1">
        <v>188</v>
      </c>
      <c r="C15" s="17">
        <v>3.8999999999999998E-3</v>
      </c>
      <c r="D15" s="4"/>
      <c r="E15" s="4"/>
      <c r="F15" s="4"/>
      <c r="G15" s="7"/>
      <c r="H15" s="7"/>
      <c r="I15" s="6"/>
    </row>
    <row r="16" spans="1:14" ht="15.75" hidden="1" customHeight="1" outlineLevel="1" x14ac:dyDescent="0.25">
      <c r="A16" s="16">
        <v>45535.999803240738</v>
      </c>
      <c r="B16" s="1">
        <v>212</v>
      </c>
      <c r="C16" s="17">
        <v>4.3E-3</v>
      </c>
      <c r="D16" s="4"/>
      <c r="E16" s="4"/>
      <c r="F16" s="4"/>
      <c r="G16" s="7"/>
      <c r="H16" s="7"/>
      <c r="I16" s="6"/>
    </row>
    <row r="17" spans="1:9" ht="15.75" hidden="1" customHeight="1" outlineLevel="1" x14ac:dyDescent="0.25">
      <c r="A17" s="16">
        <v>45565.999803240738</v>
      </c>
      <c r="B17" s="1">
        <v>196</v>
      </c>
      <c r="C17" s="17">
        <v>3.8E-3</v>
      </c>
      <c r="D17" s="4"/>
      <c r="E17" s="4"/>
      <c r="F17" s="4"/>
      <c r="G17" s="7"/>
      <c r="H17" s="7"/>
      <c r="I17" s="6"/>
    </row>
    <row r="18" spans="1:9" ht="15.75" hidden="1" customHeight="1" outlineLevel="1" x14ac:dyDescent="0.25">
      <c r="A18" s="16">
        <v>45596.999803240738</v>
      </c>
      <c r="B18" s="1">
        <v>168</v>
      </c>
      <c r="C18" s="17">
        <v>3.3E-3</v>
      </c>
      <c r="D18" s="4"/>
      <c r="E18" s="4"/>
      <c r="F18" s="4"/>
      <c r="G18" s="7"/>
      <c r="H18" s="7"/>
      <c r="I18" s="6"/>
    </row>
    <row r="19" spans="1:9" ht="15.75" hidden="1" customHeight="1" outlineLevel="1" x14ac:dyDescent="0.25">
      <c r="A19" s="16">
        <v>45626.999803240738</v>
      </c>
      <c r="B19" s="1">
        <v>148</v>
      </c>
      <c r="C19" s="17">
        <v>2.8E-3</v>
      </c>
      <c r="D19" s="4"/>
      <c r="E19" s="4"/>
      <c r="F19" s="4"/>
      <c r="G19" s="7"/>
      <c r="H19" s="7"/>
      <c r="I19" s="6"/>
    </row>
    <row r="20" spans="1:9" ht="15.75" hidden="1" customHeight="1" outlineLevel="1" x14ac:dyDescent="0.25">
      <c r="A20" s="16">
        <v>45657.999803240738</v>
      </c>
      <c r="B20" s="1">
        <v>135</v>
      </c>
      <c r="C20" s="17">
        <v>2.3999999999999998E-3</v>
      </c>
      <c r="D20" s="4"/>
      <c r="E20" s="4"/>
      <c r="F20" s="4"/>
      <c r="G20" s="7"/>
      <c r="H20" s="7"/>
      <c r="I20" s="6"/>
    </row>
    <row r="21" spans="1:9" ht="15.75" hidden="1" customHeight="1" outlineLevel="1" x14ac:dyDescent="0.25">
      <c r="A21" s="16">
        <v>45688.999803240738</v>
      </c>
      <c r="B21" s="1">
        <v>146</v>
      </c>
      <c r="C21" s="17">
        <v>2.8999999999999998E-3</v>
      </c>
      <c r="D21" s="4"/>
      <c r="E21" s="4"/>
      <c r="F21" s="4"/>
      <c r="G21" s="7"/>
      <c r="H21" s="7"/>
      <c r="I21" s="6"/>
    </row>
    <row r="22" spans="1:9" ht="15.75" hidden="1" customHeight="1" outlineLevel="1" x14ac:dyDescent="0.25">
      <c r="A22" s="16">
        <v>45716.999803240738</v>
      </c>
      <c r="B22" s="1">
        <v>212</v>
      </c>
      <c r="C22" s="17">
        <v>4.0000000000000001E-3</v>
      </c>
      <c r="D22" s="4"/>
      <c r="E22" s="4"/>
      <c r="F22" s="4"/>
      <c r="G22" s="7"/>
      <c r="H22" s="7"/>
      <c r="I22" s="6"/>
    </row>
    <row r="23" spans="1:9" ht="15.75" hidden="1" customHeight="1" outlineLevel="1" x14ac:dyDescent="0.25">
      <c r="A23" s="16">
        <v>45747.999803240738</v>
      </c>
      <c r="B23" s="1">
        <v>166</v>
      </c>
      <c r="C23" s="17">
        <v>3.5000000000000001E-3</v>
      </c>
      <c r="D23" s="4"/>
      <c r="E23" s="4"/>
      <c r="F23" s="4"/>
      <c r="G23" s="7"/>
      <c r="H23" s="7"/>
      <c r="I23" s="6"/>
    </row>
    <row r="24" spans="1:9" ht="15.75" hidden="1" customHeight="1" outlineLevel="1" x14ac:dyDescent="0.25">
      <c r="A24" s="16">
        <v>45777.999803240738</v>
      </c>
      <c r="B24" s="1">
        <v>144</v>
      </c>
      <c r="C24" s="17">
        <v>3.0000000000000001E-3</v>
      </c>
      <c r="D24" s="4"/>
      <c r="E24" s="4"/>
      <c r="F24" s="4"/>
      <c r="G24" s="7"/>
      <c r="H24" s="7"/>
      <c r="I24" s="6"/>
    </row>
    <row r="25" spans="1:9" ht="15.75" hidden="1" customHeight="1" outlineLevel="1" x14ac:dyDescent="0.25">
      <c r="A25" s="16">
        <v>45808.999803240738</v>
      </c>
      <c r="B25" s="1">
        <v>127</v>
      </c>
      <c r="C25" s="17">
        <v>2.8E-3</v>
      </c>
      <c r="D25" s="4"/>
      <c r="E25" s="4"/>
      <c r="F25" s="4"/>
      <c r="G25" s="7"/>
      <c r="H25" s="7"/>
      <c r="I25" s="6"/>
    </row>
    <row r="26" spans="1:9" ht="15.75" hidden="1" customHeight="1" outlineLevel="1" x14ac:dyDescent="0.25">
      <c r="A26" s="16">
        <v>45838.999803240738</v>
      </c>
      <c r="B26" s="1">
        <v>126</v>
      </c>
      <c r="C26" s="17">
        <v>2.8E-3</v>
      </c>
      <c r="D26" s="4"/>
      <c r="E26" s="4"/>
      <c r="F26" s="4"/>
      <c r="G26" s="7"/>
      <c r="H26" s="7"/>
      <c r="I26" s="6"/>
    </row>
    <row r="27" spans="1:9" ht="15.75" hidden="1" customHeight="1" outlineLevel="1" x14ac:dyDescent="0.25">
      <c r="A27" s="16">
        <v>45869.999803240738</v>
      </c>
      <c r="B27" s="1">
        <v>169</v>
      </c>
      <c r="C27" s="17">
        <v>4.1000000000000003E-3</v>
      </c>
      <c r="D27" s="4"/>
      <c r="E27" s="4"/>
      <c r="F27" s="4"/>
      <c r="G27" s="7"/>
      <c r="H27" s="7"/>
      <c r="I27" s="6"/>
    </row>
    <row r="28" spans="1:9" ht="15.75" hidden="1" customHeight="1" outlineLevel="1" x14ac:dyDescent="0.25">
      <c r="A28" s="16">
        <v>45900.999803240738</v>
      </c>
      <c r="B28" s="1">
        <v>122</v>
      </c>
      <c r="C28" s="17">
        <v>2.8E-3</v>
      </c>
      <c r="D28" s="4"/>
      <c r="E28" s="4"/>
      <c r="F28" s="4"/>
      <c r="G28" s="7"/>
      <c r="H28" s="7"/>
      <c r="I28" s="6"/>
    </row>
    <row r="29" spans="1:9" collapsed="1" x14ac:dyDescent="0.25">
      <c r="A29" s="10" t="s">
        <v>3</v>
      </c>
      <c r="B29" s="11">
        <f>AVERAGE(B5:B28)</f>
        <v>165.95833333333334</v>
      </c>
      <c r="C29" s="11"/>
      <c r="D29" s="330">
        <v>170000</v>
      </c>
      <c r="E29" s="331">
        <v>2147</v>
      </c>
      <c r="F29" s="332">
        <f>B30/D29</f>
        <v>1.1714705882352941E-2</v>
      </c>
      <c r="G29" s="333">
        <f>B30/E29</f>
        <v>0.92757335817419651</v>
      </c>
      <c r="H29" s="334">
        <f>B30/D29</f>
        <v>1.1714705882352941E-2</v>
      </c>
      <c r="I29" s="331">
        <f>D29*H29</f>
        <v>1991.5</v>
      </c>
    </row>
    <row r="30" spans="1:9" x14ac:dyDescent="0.25">
      <c r="A30" s="9" t="s">
        <v>4</v>
      </c>
      <c r="B30" s="18">
        <f>B29*12</f>
        <v>1991.5</v>
      </c>
      <c r="C30" s="3"/>
      <c r="D30" s="330"/>
      <c r="E30" s="331"/>
      <c r="F30" s="332"/>
      <c r="G30" s="333"/>
      <c r="H30" s="334"/>
      <c r="I30" s="331"/>
    </row>
    <row r="31" spans="1:9" x14ac:dyDescent="0.25">
      <c r="A31" s="8" t="s">
        <v>5</v>
      </c>
      <c r="B31" s="8"/>
      <c r="C31" s="22" t="s">
        <v>32</v>
      </c>
      <c r="D31" s="12"/>
      <c r="E31" s="5"/>
      <c r="F31" s="23"/>
      <c r="G31" s="7"/>
      <c r="H31" s="4"/>
      <c r="I31" s="5"/>
    </row>
    <row r="32" spans="1:9" ht="28.5" hidden="1" outlineLevel="1" x14ac:dyDescent="0.25">
      <c r="A32" s="2" t="s">
        <v>1</v>
      </c>
      <c r="B32" s="2" t="s">
        <v>2</v>
      </c>
      <c r="C32" s="2"/>
      <c r="D32" s="12"/>
      <c r="E32" s="5"/>
      <c r="F32" s="23"/>
      <c r="G32" s="7"/>
      <c r="H32" s="4"/>
      <c r="I32" s="5"/>
    </row>
    <row r="33" spans="1:9" hidden="1" outlineLevel="1" x14ac:dyDescent="0.25">
      <c r="A33" s="16">
        <v>45199.999803240738</v>
      </c>
      <c r="B33" s="1">
        <v>332</v>
      </c>
      <c r="C33" s="17">
        <v>2.5999999999999999E-3</v>
      </c>
      <c r="D33" s="12"/>
      <c r="E33" s="5"/>
      <c r="F33" s="23"/>
      <c r="G33" s="7"/>
      <c r="H33" s="4"/>
      <c r="I33" s="5"/>
    </row>
    <row r="34" spans="1:9" hidden="1" outlineLevel="1" x14ac:dyDescent="0.25">
      <c r="A34" s="16">
        <v>45230.999803240738</v>
      </c>
      <c r="B34" s="1">
        <v>364</v>
      </c>
      <c r="C34" s="17">
        <v>2.7000000000000001E-3</v>
      </c>
      <c r="D34" s="12"/>
      <c r="E34" s="5"/>
      <c r="F34" s="23"/>
      <c r="G34" s="7"/>
      <c r="H34" s="4"/>
      <c r="I34" s="5"/>
    </row>
    <row r="35" spans="1:9" hidden="1" outlineLevel="1" x14ac:dyDescent="0.25">
      <c r="A35" s="16">
        <v>45260.999803240738</v>
      </c>
      <c r="B35" s="1">
        <v>434</v>
      </c>
      <c r="C35" s="17">
        <v>3.2000000000000002E-3</v>
      </c>
      <c r="D35" s="12"/>
      <c r="E35" s="5"/>
      <c r="F35" s="23"/>
      <c r="G35" s="7"/>
      <c r="H35" s="4"/>
      <c r="I35" s="5"/>
    </row>
    <row r="36" spans="1:9" hidden="1" outlineLevel="1" x14ac:dyDescent="0.25">
      <c r="A36" s="16">
        <v>45291.999803240738</v>
      </c>
      <c r="B36" s="1">
        <v>328</v>
      </c>
      <c r="C36" s="17">
        <v>2.3E-3</v>
      </c>
      <c r="D36" s="12"/>
      <c r="E36" s="5"/>
      <c r="F36" s="23"/>
      <c r="G36" s="7"/>
      <c r="H36" s="4"/>
      <c r="I36" s="5"/>
    </row>
    <row r="37" spans="1:9" hidden="1" outlineLevel="1" x14ac:dyDescent="0.25">
      <c r="A37" s="16">
        <v>45322.999803240738</v>
      </c>
      <c r="B37" s="1">
        <v>356</v>
      </c>
      <c r="C37" s="17">
        <v>2.7000000000000001E-3</v>
      </c>
      <c r="D37" s="12"/>
      <c r="E37" s="5"/>
      <c r="F37" s="23"/>
      <c r="G37" s="7"/>
      <c r="H37" s="4"/>
      <c r="I37" s="5"/>
    </row>
    <row r="38" spans="1:9" hidden="1" outlineLevel="1" x14ac:dyDescent="0.25">
      <c r="A38" s="16">
        <v>45351.999803240738</v>
      </c>
      <c r="B38" s="1">
        <v>513</v>
      </c>
      <c r="C38" s="17">
        <v>3.8999999999999998E-3</v>
      </c>
      <c r="D38" s="12"/>
      <c r="E38" s="5"/>
      <c r="F38" s="23"/>
      <c r="G38" s="7"/>
      <c r="H38" s="4"/>
      <c r="I38" s="5"/>
    </row>
    <row r="39" spans="1:9" hidden="1" outlineLevel="1" x14ac:dyDescent="0.25">
      <c r="A39" s="16">
        <v>45382.999803240738</v>
      </c>
      <c r="B39" s="1">
        <v>690</v>
      </c>
      <c r="C39" s="17">
        <v>5.5999999999999999E-3</v>
      </c>
      <c r="D39" s="12"/>
      <c r="E39" s="5"/>
      <c r="F39" s="23"/>
      <c r="G39" s="7"/>
      <c r="H39" s="4"/>
      <c r="I39" s="5"/>
    </row>
    <row r="40" spans="1:9" hidden="1" outlineLevel="1" x14ac:dyDescent="0.25">
      <c r="A40" s="16">
        <v>45412.999803240738</v>
      </c>
      <c r="B40" s="1">
        <v>490</v>
      </c>
      <c r="C40" s="17">
        <v>4.0000000000000001E-3</v>
      </c>
      <c r="D40" s="12"/>
      <c r="E40" s="5"/>
      <c r="F40" s="23"/>
      <c r="G40" s="7"/>
      <c r="H40" s="4"/>
      <c r="I40" s="5"/>
    </row>
    <row r="41" spans="1:9" hidden="1" outlineLevel="1" x14ac:dyDescent="0.25">
      <c r="A41" s="16">
        <v>45443.999803240738</v>
      </c>
      <c r="B41" s="1">
        <v>525</v>
      </c>
      <c r="C41" s="17">
        <v>4.3E-3</v>
      </c>
      <c r="D41" s="12"/>
      <c r="E41" s="5"/>
      <c r="F41" s="23"/>
      <c r="G41" s="7"/>
      <c r="H41" s="4"/>
      <c r="I41" s="5"/>
    </row>
    <row r="42" spans="1:9" hidden="1" outlineLevel="1" x14ac:dyDescent="0.25">
      <c r="A42" s="16">
        <v>45473.999803240738</v>
      </c>
      <c r="B42" s="1">
        <v>514</v>
      </c>
      <c r="C42" s="17">
        <v>4.3E-3</v>
      </c>
      <c r="D42" s="12"/>
      <c r="E42" s="5"/>
      <c r="F42" s="23"/>
      <c r="G42" s="7"/>
      <c r="H42" s="4"/>
      <c r="I42" s="5"/>
    </row>
    <row r="43" spans="1:9" hidden="1" outlineLevel="1" x14ac:dyDescent="0.25">
      <c r="A43" s="16">
        <v>45504.999803240738</v>
      </c>
      <c r="B43" s="1">
        <v>438</v>
      </c>
      <c r="C43" s="17">
        <v>3.5999999999999999E-3</v>
      </c>
      <c r="D43" s="12"/>
      <c r="E43" s="5"/>
      <c r="F43" s="23"/>
      <c r="G43" s="7"/>
      <c r="H43" s="4"/>
      <c r="I43" s="5"/>
    </row>
    <row r="44" spans="1:9" hidden="1" outlineLevel="1" x14ac:dyDescent="0.25">
      <c r="A44" s="16">
        <v>45535.999803240738</v>
      </c>
      <c r="B44" s="1">
        <v>411</v>
      </c>
      <c r="C44" s="17">
        <v>3.3999999999999998E-3</v>
      </c>
      <c r="D44" s="12"/>
      <c r="E44" s="5"/>
      <c r="F44" s="23"/>
      <c r="G44" s="7"/>
      <c r="H44" s="4"/>
      <c r="I44" s="5"/>
    </row>
    <row r="45" spans="1:9" hidden="1" outlineLevel="1" x14ac:dyDescent="0.25">
      <c r="A45" s="16">
        <v>45565.999803240738</v>
      </c>
      <c r="B45" s="1">
        <v>360</v>
      </c>
      <c r="C45" s="17">
        <v>2.8E-3</v>
      </c>
      <c r="D45" s="12"/>
      <c r="E45" s="5"/>
      <c r="F45" s="23"/>
      <c r="G45" s="7"/>
      <c r="H45" s="4"/>
      <c r="I45" s="5"/>
    </row>
    <row r="46" spans="1:9" hidden="1" outlineLevel="1" x14ac:dyDescent="0.25">
      <c r="A46" s="16">
        <v>45596.999803240738</v>
      </c>
      <c r="B46" s="1">
        <v>340</v>
      </c>
      <c r="C46" s="17">
        <v>2.5999999999999999E-3</v>
      </c>
      <c r="D46" s="12"/>
      <c r="E46" s="5"/>
      <c r="F46" s="23"/>
      <c r="G46" s="7"/>
      <c r="H46" s="4"/>
      <c r="I46" s="5"/>
    </row>
    <row r="47" spans="1:9" hidden="1" outlineLevel="1" x14ac:dyDescent="0.25">
      <c r="A47" s="16">
        <v>45626.999803240738</v>
      </c>
      <c r="B47" s="1">
        <v>435</v>
      </c>
      <c r="C47" s="17">
        <v>3.3E-3</v>
      </c>
      <c r="D47" s="12"/>
      <c r="E47" s="5"/>
      <c r="F47" s="23"/>
      <c r="G47" s="7"/>
      <c r="H47" s="4"/>
      <c r="I47" s="5"/>
    </row>
    <row r="48" spans="1:9" hidden="1" outlineLevel="1" x14ac:dyDescent="0.25">
      <c r="A48" s="16">
        <v>45657.999803240738</v>
      </c>
      <c r="B48" s="1">
        <v>341</v>
      </c>
      <c r="C48" s="17">
        <v>2.5000000000000001E-3</v>
      </c>
      <c r="D48" s="12"/>
      <c r="E48" s="5"/>
      <c r="F48" s="23"/>
      <c r="G48" s="7"/>
      <c r="H48" s="4"/>
      <c r="I48" s="5"/>
    </row>
    <row r="49" spans="1:9" hidden="1" outlineLevel="1" x14ac:dyDescent="0.25">
      <c r="A49" s="16">
        <v>45688.999803240738</v>
      </c>
      <c r="B49" s="1">
        <v>300</v>
      </c>
      <c r="C49" s="17">
        <v>2.3999999999999998E-3</v>
      </c>
      <c r="D49" s="12"/>
      <c r="E49" s="5"/>
      <c r="F49" s="23"/>
      <c r="G49" s="7"/>
      <c r="H49" s="4"/>
      <c r="I49" s="5"/>
    </row>
    <row r="50" spans="1:9" hidden="1" outlineLevel="1" x14ac:dyDescent="0.25">
      <c r="A50" s="16">
        <v>45716.999803240738</v>
      </c>
      <c r="B50" s="1">
        <v>585</v>
      </c>
      <c r="C50" s="17">
        <v>4.1999999999999997E-3</v>
      </c>
      <c r="D50" s="12"/>
      <c r="E50" s="5"/>
      <c r="F50" s="23"/>
      <c r="G50" s="7"/>
      <c r="H50" s="4"/>
      <c r="I50" s="5"/>
    </row>
    <row r="51" spans="1:9" hidden="1" outlineLevel="1" x14ac:dyDescent="0.25">
      <c r="A51" s="16">
        <v>45747.999803240738</v>
      </c>
      <c r="B51" s="1">
        <v>427</v>
      </c>
      <c r="C51" s="17">
        <v>3.3999999999999998E-3</v>
      </c>
      <c r="D51" s="12"/>
      <c r="E51" s="5"/>
      <c r="F51" s="23"/>
      <c r="G51" s="7"/>
      <c r="H51" s="4"/>
      <c r="I51" s="5"/>
    </row>
    <row r="52" spans="1:9" hidden="1" outlineLevel="1" x14ac:dyDescent="0.25">
      <c r="A52" s="16">
        <v>45777.999803240738</v>
      </c>
      <c r="B52" s="1">
        <v>409</v>
      </c>
      <c r="C52" s="17">
        <v>3.0999999999999999E-3</v>
      </c>
      <c r="D52" s="12"/>
      <c r="E52" s="5"/>
      <c r="F52" s="23"/>
      <c r="G52" s="7"/>
      <c r="H52" s="4"/>
      <c r="I52" s="5"/>
    </row>
    <row r="53" spans="1:9" hidden="1" outlineLevel="1" x14ac:dyDescent="0.25">
      <c r="A53" s="16">
        <v>45808.999803240738</v>
      </c>
      <c r="B53" s="1">
        <v>269</v>
      </c>
      <c r="C53" s="17">
        <v>2.0999999999999999E-3</v>
      </c>
      <c r="D53" s="12"/>
      <c r="E53" s="5"/>
      <c r="F53" s="23"/>
      <c r="G53" s="7"/>
      <c r="H53" s="4"/>
      <c r="I53" s="5"/>
    </row>
    <row r="54" spans="1:9" hidden="1" outlineLevel="1" x14ac:dyDescent="0.25">
      <c r="A54" s="16">
        <v>45838.999803240738</v>
      </c>
      <c r="B54" s="1">
        <v>362</v>
      </c>
      <c r="C54" s="17">
        <v>2.7000000000000001E-3</v>
      </c>
      <c r="D54" s="12"/>
      <c r="E54" s="5"/>
      <c r="F54" s="23"/>
      <c r="G54" s="7"/>
      <c r="H54" s="4"/>
      <c r="I54" s="5"/>
    </row>
    <row r="55" spans="1:9" hidden="1" outlineLevel="1" x14ac:dyDescent="0.25">
      <c r="A55" s="16">
        <v>45869.999803240738</v>
      </c>
      <c r="B55" s="1">
        <v>332</v>
      </c>
      <c r="C55" s="17">
        <v>2.5999999999999999E-3</v>
      </c>
      <c r="D55" s="12"/>
      <c r="E55" s="5"/>
      <c r="F55" s="23"/>
      <c r="G55" s="7"/>
      <c r="H55" s="4"/>
      <c r="I55" s="5"/>
    </row>
    <row r="56" spans="1:9" hidden="1" outlineLevel="1" x14ac:dyDescent="0.25">
      <c r="A56" s="16">
        <v>45900.999803240738</v>
      </c>
      <c r="B56" s="1">
        <v>303</v>
      </c>
      <c r="C56" s="17">
        <v>2.5000000000000001E-3</v>
      </c>
      <c r="D56" s="12"/>
      <c r="E56" s="5"/>
      <c r="F56" s="23"/>
      <c r="G56" s="7"/>
      <c r="H56" s="4"/>
      <c r="I56" s="5"/>
    </row>
    <row r="57" spans="1:9" collapsed="1" x14ac:dyDescent="0.25">
      <c r="A57" s="10" t="s">
        <v>3</v>
      </c>
      <c r="B57" s="11">
        <f>AVERAGE(B33:B56)</f>
        <v>410.75</v>
      </c>
      <c r="C57" s="11"/>
      <c r="D57" s="338">
        <v>340000</v>
      </c>
      <c r="E57" s="339">
        <v>4859</v>
      </c>
      <c r="F57" s="340">
        <f>B58/D57</f>
        <v>1.4497058823529411E-2</v>
      </c>
      <c r="G57" s="333">
        <f>B58/E57</f>
        <v>1.0144062564313645</v>
      </c>
      <c r="H57" s="341">
        <f>$H$29*(F57/$F$29)</f>
        <v>1.4497058823529411E-2</v>
      </c>
      <c r="I57" s="339">
        <f>D57*H57</f>
        <v>4929</v>
      </c>
    </row>
    <row r="58" spans="1:9" x14ac:dyDescent="0.25">
      <c r="A58" s="9" t="s">
        <v>4</v>
      </c>
      <c r="B58" s="3">
        <f>B57*12</f>
        <v>4929</v>
      </c>
      <c r="C58" s="3"/>
      <c r="D58" s="338"/>
      <c r="E58" s="339"/>
      <c r="F58" s="340"/>
      <c r="G58" s="333"/>
      <c r="H58" s="341"/>
      <c r="I58" s="339"/>
    </row>
    <row r="59" spans="1:9" x14ac:dyDescent="0.25">
      <c r="A59" s="8" t="s">
        <v>6</v>
      </c>
      <c r="B59" s="8"/>
      <c r="C59" s="22" t="s">
        <v>32</v>
      </c>
      <c r="D59" s="12"/>
      <c r="E59" s="4"/>
      <c r="F59" s="24"/>
      <c r="G59" s="7"/>
      <c r="H59" s="25"/>
      <c r="I59" s="4"/>
    </row>
    <row r="60" spans="1:9" ht="28.5" hidden="1" outlineLevel="1" x14ac:dyDescent="0.25">
      <c r="A60" s="2" t="s">
        <v>1</v>
      </c>
      <c r="B60" s="2" t="s">
        <v>2</v>
      </c>
      <c r="C60" s="2"/>
      <c r="D60" s="12"/>
      <c r="E60" s="4"/>
      <c r="F60" s="24"/>
      <c r="G60" s="7"/>
      <c r="H60" s="25"/>
      <c r="I60" s="4"/>
    </row>
    <row r="61" spans="1:9" ht="15.75" hidden="1" outlineLevel="1" x14ac:dyDescent="0.25">
      <c r="A61" s="13">
        <v>45199.999803240738</v>
      </c>
      <c r="B61" s="14">
        <v>3147</v>
      </c>
      <c r="C61" s="15">
        <v>4.0000000000000001E-3</v>
      </c>
      <c r="D61" s="12"/>
      <c r="E61" s="4"/>
      <c r="F61" s="24"/>
      <c r="G61" s="7"/>
      <c r="H61" s="25"/>
      <c r="I61" s="4"/>
    </row>
    <row r="62" spans="1:9" ht="15.75" hidden="1" outlineLevel="1" x14ac:dyDescent="0.25">
      <c r="A62" s="13">
        <v>45230.999803240738</v>
      </c>
      <c r="B62" s="14">
        <v>3011</v>
      </c>
      <c r="C62" s="15">
        <v>3.8999999999999998E-3</v>
      </c>
      <c r="D62" s="12"/>
      <c r="E62" s="4"/>
      <c r="F62" s="24"/>
      <c r="G62" s="7"/>
      <c r="H62" s="25"/>
      <c r="I62" s="4"/>
    </row>
    <row r="63" spans="1:9" ht="15.75" hidden="1" outlineLevel="1" x14ac:dyDescent="0.25">
      <c r="A63" s="13">
        <v>45260.999803240738</v>
      </c>
      <c r="B63" s="14">
        <v>2442</v>
      </c>
      <c r="C63" s="15">
        <v>3.0999999999999999E-3</v>
      </c>
      <c r="D63" s="12"/>
      <c r="E63" s="4"/>
      <c r="F63" s="24"/>
      <c r="G63" s="7"/>
      <c r="H63" s="25"/>
      <c r="I63" s="4"/>
    </row>
    <row r="64" spans="1:9" ht="15.75" hidden="1" outlineLevel="1" x14ac:dyDescent="0.25">
      <c r="A64" s="13">
        <v>45291.999803240738</v>
      </c>
      <c r="B64" s="14">
        <v>2656</v>
      </c>
      <c r="C64" s="15">
        <v>3.3E-3</v>
      </c>
      <c r="D64" s="12"/>
      <c r="E64" s="4"/>
      <c r="F64" s="24"/>
      <c r="G64" s="7"/>
      <c r="H64" s="25"/>
      <c r="I64" s="4"/>
    </row>
    <row r="65" spans="1:9" ht="15.75" hidden="1" outlineLevel="1" x14ac:dyDescent="0.25">
      <c r="A65" s="13">
        <v>45322.999803240738</v>
      </c>
      <c r="B65" s="14">
        <v>3118</v>
      </c>
      <c r="C65" s="15">
        <v>4.0000000000000001E-3</v>
      </c>
      <c r="D65" s="12"/>
      <c r="E65" s="4"/>
      <c r="F65" s="24"/>
      <c r="G65" s="7"/>
      <c r="H65" s="25"/>
      <c r="I65" s="4"/>
    </row>
    <row r="66" spans="1:9" ht="15.75" hidden="1" outlineLevel="1" x14ac:dyDescent="0.25">
      <c r="A66" s="13">
        <v>45351.999803240738</v>
      </c>
      <c r="B66" s="14">
        <v>4563</v>
      </c>
      <c r="C66" s="15">
        <v>5.7000000000000002E-3</v>
      </c>
      <c r="D66" s="12"/>
      <c r="E66" s="4"/>
      <c r="F66" s="24"/>
      <c r="G66" s="7"/>
      <c r="H66" s="25"/>
      <c r="I66" s="4"/>
    </row>
    <row r="67" spans="1:9" ht="15.75" hidden="1" outlineLevel="1" x14ac:dyDescent="0.25">
      <c r="A67" s="13">
        <v>45382.999803240738</v>
      </c>
      <c r="B67" s="14">
        <v>4765</v>
      </c>
      <c r="C67" s="15">
        <v>5.1999999999999998E-3</v>
      </c>
      <c r="D67" s="12"/>
      <c r="E67" s="4"/>
      <c r="F67" s="24"/>
      <c r="G67" s="7"/>
      <c r="H67" s="25"/>
      <c r="I67" s="4"/>
    </row>
    <row r="68" spans="1:9" ht="15.75" hidden="1" outlineLevel="1" x14ac:dyDescent="0.25">
      <c r="A68" s="13">
        <v>45412.999803240738</v>
      </c>
      <c r="B68" s="14">
        <v>4542</v>
      </c>
      <c r="C68" s="15">
        <v>4.8999999999999998E-3</v>
      </c>
      <c r="D68" s="12"/>
      <c r="E68" s="4"/>
      <c r="F68" s="24"/>
      <c r="G68" s="7"/>
      <c r="H68" s="25"/>
      <c r="I68" s="4"/>
    </row>
    <row r="69" spans="1:9" ht="15.75" hidden="1" outlineLevel="1" x14ac:dyDescent="0.25">
      <c r="A69" s="13">
        <v>45443.999803240738</v>
      </c>
      <c r="B69" s="14">
        <v>4090</v>
      </c>
      <c r="C69" s="15">
        <v>4.7999999999999996E-3</v>
      </c>
      <c r="D69" s="12"/>
      <c r="E69" s="4"/>
      <c r="F69" s="24"/>
      <c r="G69" s="7"/>
      <c r="H69" s="25"/>
      <c r="I69" s="4"/>
    </row>
    <row r="70" spans="1:9" ht="15.75" hidden="1" outlineLevel="1" x14ac:dyDescent="0.25">
      <c r="A70" s="13">
        <v>45473.999803240738</v>
      </c>
      <c r="B70" s="14">
        <v>4058</v>
      </c>
      <c r="C70" s="15">
        <v>4.7999999999999996E-3</v>
      </c>
      <c r="D70" s="12"/>
      <c r="E70" s="4"/>
      <c r="F70" s="24"/>
      <c r="G70" s="7"/>
      <c r="H70" s="25"/>
      <c r="I70" s="4"/>
    </row>
    <row r="71" spans="1:9" ht="15.75" hidden="1" outlineLevel="1" x14ac:dyDescent="0.25">
      <c r="A71" s="13">
        <v>45504.999803240738</v>
      </c>
      <c r="B71" s="14">
        <v>3445</v>
      </c>
      <c r="C71" s="15">
        <v>4.1000000000000003E-3</v>
      </c>
      <c r="D71" s="12"/>
      <c r="E71" s="4"/>
      <c r="F71" s="24"/>
      <c r="G71" s="7"/>
      <c r="H71" s="25"/>
      <c r="I71" s="4"/>
    </row>
    <row r="72" spans="1:9" ht="15.75" hidden="1" outlineLevel="1" x14ac:dyDescent="0.25">
      <c r="A72" s="13">
        <v>45535.999803240738</v>
      </c>
      <c r="B72" s="14">
        <v>3313</v>
      </c>
      <c r="C72" s="15">
        <v>3.7000000000000002E-3</v>
      </c>
      <c r="D72" s="12"/>
      <c r="E72" s="4"/>
      <c r="F72" s="24"/>
      <c r="G72" s="7"/>
      <c r="H72" s="25"/>
      <c r="I72" s="4"/>
    </row>
    <row r="73" spans="1:9" ht="15.75" hidden="1" outlineLevel="1" x14ac:dyDescent="0.25">
      <c r="A73" s="13">
        <v>45565.999803240738</v>
      </c>
      <c r="B73" s="14">
        <v>2751</v>
      </c>
      <c r="C73" s="15">
        <v>2.7000000000000001E-3</v>
      </c>
      <c r="D73" s="12"/>
      <c r="E73" s="4"/>
      <c r="F73" s="24"/>
      <c r="G73" s="7"/>
      <c r="H73" s="25"/>
      <c r="I73" s="4"/>
    </row>
    <row r="74" spans="1:9" ht="15.75" hidden="1" outlineLevel="1" x14ac:dyDescent="0.25">
      <c r="A74" s="13">
        <v>45596.999803240738</v>
      </c>
      <c r="B74" s="14">
        <v>2972</v>
      </c>
      <c r="C74" s="15">
        <v>2.8999999999999998E-3</v>
      </c>
      <c r="D74" s="12"/>
      <c r="E74" s="4"/>
      <c r="F74" s="24"/>
      <c r="G74" s="7"/>
      <c r="H74" s="25"/>
      <c r="I74" s="4"/>
    </row>
    <row r="75" spans="1:9" ht="15.75" hidden="1" outlineLevel="1" x14ac:dyDescent="0.25">
      <c r="A75" s="13">
        <v>45626.999803240738</v>
      </c>
      <c r="B75" s="14">
        <v>2786</v>
      </c>
      <c r="C75" s="15">
        <v>2.7000000000000001E-3</v>
      </c>
      <c r="D75" s="12"/>
      <c r="E75" s="4"/>
      <c r="F75" s="24"/>
      <c r="G75" s="7"/>
      <c r="H75" s="25"/>
      <c r="I75" s="4"/>
    </row>
    <row r="76" spans="1:9" ht="15.75" hidden="1" outlineLevel="1" x14ac:dyDescent="0.25">
      <c r="A76" s="13">
        <v>45657.999803240738</v>
      </c>
      <c r="B76" s="14">
        <v>2783</v>
      </c>
      <c r="C76" s="15">
        <v>2.5000000000000001E-3</v>
      </c>
      <c r="D76" s="12"/>
      <c r="E76" s="4"/>
      <c r="F76" s="24"/>
      <c r="G76" s="7"/>
      <c r="H76" s="25"/>
      <c r="I76" s="4"/>
    </row>
    <row r="77" spans="1:9" ht="15.75" hidden="1" outlineLevel="1" x14ac:dyDescent="0.25">
      <c r="A77" s="13">
        <v>45688.999803240738</v>
      </c>
      <c r="B77" s="14">
        <v>3683</v>
      </c>
      <c r="C77" s="15">
        <v>3.5000000000000001E-3</v>
      </c>
      <c r="D77" s="12"/>
      <c r="E77" s="4"/>
      <c r="F77" s="24"/>
      <c r="G77" s="7"/>
      <c r="H77" s="25"/>
      <c r="I77" s="4"/>
    </row>
    <row r="78" spans="1:9" ht="15.75" hidden="1" outlineLevel="1" x14ac:dyDescent="0.25">
      <c r="A78" s="13">
        <v>45716.999803240738</v>
      </c>
      <c r="B78" s="14">
        <v>5191</v>
      </c>
      <c r="C78" s="15">
        <v>4.4999999999999997E-3</v>
      </c>
      <c r="D78" s="12"/>
      <c r="E78" s="4"/>
      <c r="F78" s="24"/>
      <c r="G78" s="7"/>
      <c r="H78" s="25"/>
      <c r="I78" s="4"/>
    </row>
    <row r="79" spans="1:9" ht="15.75" hidden="1" outlineLevel="1" x14ac:dyDescent="0.25">
      <c r="A79" s="13">
        <v>45747.999803240738</v>
      </c>
      <c r="B79" s="14">
        <v>5369</v>
      </c>
      <c r="C79" s="15">
        <v>5.0000000000000001E-3</v>
      </c>
      <c r="D79" s="12"/>
      <c r="E79" s="4"/>
      <c r="F79" s="24"/>
      <c r="G79" s="7"/>
      <c r="H79" s="25"/>
      <c r="I79" s="4"/>
    </row>
    <row r="80" spans="1:9" ht="15.75" hidden="1" outlineLevel="1" x14ac:dyDescent="0.25">
      <c r="A80" s="13">
        <v>45777.999803240738</v>
      </c>
      <c r="B80" s="14">
        <v>4373</v>
      </c>
      <c r="C80" s="15">
        <v>4.1000000000000003E-3</v>
      </c>
      <c r="D80" s="12"/>
      <c r="E80" s="4"/>
      <c r="F80" s="24"/>
      <c r="G80" s="7"/>
      <c r="H80" s="25"/>
      <c r="I80" s="4"/>
    </row>
    <row r="81" spans="1:9" ht="15.75" hidden="1" outlineLevel="1" x14ac:dyDescent="0.25">
      <c r="A81" s="13">
        <v>45808.999803240738</v>
      </c>
      <c r="B81" s="14">
        <v>3287</v>
      </c>
      <c r="C81" s="15">
        <v>3.0999999999999999E-3</v>
      </c>
      <c r="D81" s="12"/>
      <c r="E81" s="4"/>
      <c r="F81" s="24"/>
      <c r="G81" s="7"/>
      <c r="H81" s="25"/>
      <c r="I81" s="4"/>
    </row>
    <row r="82" spans="1:9" ht="15.75" hidden="1" outlineLevel="1" x14ac:dyDescent="0.25">
      <c r="A82" s="13">
        <v>45838.999803240738</v>
      </c>
      <c r="B82" s="14">
        <v>3668</v>
      </c>
      <c r="C82" s="15">
        <v>3.5999999999999999E-3</v>
      </c>
      <c r="D82" s="12"/>
      <c r="E82" s="4"/>
      <c r="F82" s="24"/>
      <c r="G82" s="7"/>
      <c r="H82" s="25"/>
      <c r="I82" s="4"/>
    </row>
    <row r="83" spans="1:9" ht="15.75" hidden="1" outlineLevel="1" x14ac:dyDescent="0.25">
      <c r="A83" s="13">
        <v>45869.999803240738</v>
      </c>
      <c r="B83" s="14">
        <v>3186</v>
      </c>
      <c r="C83" s="15">
        <v>3.3E-3</v>
      </c>
      <c r="D83" s="12"/>
      <c r="E83" s="4"/>
      <c r="F83" s="24"/>
      <c r="G83" s="7"/>
      <c r="H83" s="25"/>
      <c r="I83" s="4"/>
    </row>
    <row r="84" spans="1:9" ht="15.75" hidden="1" outlineLevel="1" x14ac:dyDescent="0.25">
      <c r="A84" s="13">
        <v>45900.999803240738</v>
      </c>
      <c r="B84" s="14">
        <v>2813</v>
      </c>
      <c r="C84" s="15">
        <v>3.0999999999999999E-3</v>
      </c>
      <c r="D84" s="12"/>
      <c r="E84" s="4"/>
      <c r="F84" s="24"/>
      <c r="G84" s="7"/>
      <c r="H84" s="25"/>
      <c r="I84" s="4"/>
    </row>
    <row r="85" spans="1:9" collapsed="1" x14ac:dyDescent="0.25">
      <c r="A85" s="10" t="s">
        <v>3</v>
      </c>
      <c r="B85" s="11">
        <f>AVERAGE(B61:B84)</f>
        <v>3583.8333333333335</v>
      </c>
      <c r="C85" s="11"/>
      <c r="D85" s="338">
        <v>1996000</v>
      </c>
      <c r="E85" s="339"/>
      <c r="F85" s="340">
        <f>B86/D85</f>
        <v>2.1546092184368738E-2</v>
      </c>
      <c r="G85" s="333"/>
      <c r="H85" s="341">
        <f>$H$29*(F85/$F$29)</f>
        <v>2.1546092184368738E-2</v>
      </c>
      <c r="I85" s="339">
        <f>D85*H85</f>
        <v>43006</v>
      </c>
    </row>
    <row r="86" spans="1:9" x14ac:dyDescent="0.25">
      <c r="A86" s="9" t="s">
        <v>4</v>
      </c>
      <c r="B86" s="3">
        <f>B85*12</f>
        <v>43006</v>
      </c>
      <c r="C86" s="3"/>
      <c r="D86" s="338"/>
      <c r="E86" s="339"/>
      <c r="F86" s="340"/>
      <c r="G86" s="333"/>
      <c r="H86" s="341"/>
      <c r="I86" s="339"/>
    </row>
    <row r="87" spans="1:9" x14ac:dyDescent="0.25">
      <c r="A87" s="8" t="s">
        <v>7</v>
      </c>
      <c r="B87" s="8"/>
      <c r="C87" s="22" t="s">
        <v>32</v>
      </c>
      <c r="D87" s="12"/>
      <c r="E87" s="4"/>
      <c r="F87" s="24"/>
      <c r="G87" s="7"/>
      <c r="H87" s="25"/>
      <c r="I87" s="4"/>
    </row>
    <row r="88" spans="1:9" ht="28.5" hidden="1" outlineLevel="2" x14ac:dyDescent="0.25">
      <c r="A88" s="2" t="s">
        <v>1</v>
      </c>
      <c r="B88" s="2" t="s">
        <v>2</v>
      </c>
      <c r="C88" s="2"/>
      <c r="D88" s="12"/>
      <c r="E88" s="4"/>
      <c r="F88" s="24"/>
      <c r="G88" s="7"/>
      <c r="H88" s="25"/>
      <c r="I88" s="4"/>
    </row>
    <row r="89" spans="1:9" ht="15.75" hidden="1" outlineLevel="2" x14ac:dyDescent="0.25">
      <c r="A89" s="13">
        <v>45291.999803240738</v>
      </c>
      <c r="B89" s="14">
        <v>154</v>
      </c>
      <c r="C89" s="15">
        <v>1.0399999999999999E-3</v>
      </c>
      <c r="D89" s="12"/>
      <c r="E89" s="4"/>
      <c r="F89" s="24"/>
      <c r="G89" s="7"/>
      <c r="H89" s="25"/>
      <c r="I89" s="4"/>
    </row>
    <row r="90" spans="1:9" ht="15.75" hidden="1" outlineLevel="2" x14ac:dyDescent="0.25">
      <c r="A90" s="13">
        <v>45322.999803240738</v>
      </c>
      <c r="B90" s="14">
        <v>244</v>
      </c>
      <c r="C90" s="15">
        <v>1.7899999999999999E-3</v>
      </c>
      <c r="D90" s="12"/>
      <c r="E90" s="4"/>
      <c r="F90" s="24"/>
      <c r="G90" s="7"/>
      <c r="H90" s="25"/>
      <c r="I90" s="4"/>
    </row>
    <row r="91" spans="1:9" ht="15.75" hidden="1" outlineLevel="2" x14ac:dyDescent="0.25">
      <c r="A91" s="13">
        <v>45351.999803240738</v>
      </c>
      <c r="B91" s="14">
        <v>252</v>
      </c>
      <c r="C91" s="15">
        <v>1.8500000000000001E-3</v>
      </c>
      <c r="D91" s="12"/>
      <c r="E91" s="4"/>
      <c r="F91" s="24"/>
      <c r="G91" s="7"/>
      <c r="H91" s="25"/>
      <c r="I91" s="4"/>
    </row>
    <row r="92" spans="1:9" ht="15.75" hidden="1" outlineLevel="2" x14ac:dyDescent="0.25">
      <c r="A92" s="13">
        <v>45382.999803240738</v>
      </c>
      <c r="B92" s="14">
        <v>192</v>
      </c>
      <c r="C92" s="15">
        <v>1.47E-3</v>
      </c>
      <c r="D92" s="12"/>
      <c r="E92" s="4"/>
      <c r="F92" s="24"/>
      <c r="G92" s="7"/>
      <c r="H92" s="25"/>
      <c r="I92" s="4"/>
    </row>
    <row r="93" spans="1:9" ht="15.75" hidden="1" outlineLevel="2" x14ac:dyDescent="0.25">
      <c r="A93" s="13">
        <v>45412.999803240738</v>
      </c>
      <c r="B93" s="14">
        <v>171</v>
      </c>
      <c r="C93" s="15">
        <v>1.34E-3</v>
      </c>
      <c r="D93" s="12"/>
      <c r="E93" s="4"/>
      <c r="F93" s="24"/>
      <c r="G93" s="7"/>
      <c r="H93" s="25"/>
      <c r="I93" s="4"/>
    </row>
    <row r="94" spans="1:9" ht="15.75" hidden="1" outlineLevel="2" x14ac:dyDescent="0.25">
      <c r="A94" s="13">
        <v>45443.999803240738</v>
      </c>
      <c r="B94" s="14">
        <v>220</v>
      </c>
      <c r="C94" s="15">
        <v>1.82E-3</v>
      </c>
      <c r="D94" s="12"/>
      <c r="E94" s="4"/>
      <c r="F94" s="24"/>
      <c r="G94" s="7"/>
      <c r="H94" s="25"/>
      <c r="I94" s="4"/>
    </row>
    <row r="95" spans="1:9" ht="15.75" hidden="1" outlineLevel="2" x14ac:dyDescent="0.25">
      <c r="A95" s="13">
        <v>45473.999803240738</v>
      </c>
      <c r="B95" s="14">
        <v>142</v>
      </c>
      <c r="C95" s="15">
        <v>1.1999999999999999E-3</v>
      </c>
      <c r="D95" s="12"/>
      <c r="E95" s="4"/>
      <c r="F95" s="24"/>
      <c r="G95" s="7"/>
      <c r="H95" s="25"/>
      <c r="I95" s="4"/>
    </row>
    <row r="96" spans="1:9" ht="15.75" hidden="1" outlineLevel="2" x14ac:dyDescent="0.25">
      <c r="A96" s="13">
        <v>45504.999803240738</v>
      </c>
      <c r="B96" s="14">
        <v>139</v>
      </c>
      <c r="C96" s="15">
        <v>1.2199999999999999E-3</v>
      </c>
      <c r="D96" s="12"/>
      <c r="E96" s="4"/>
      <c r="F96" s="24"/>
      <c r="G96" s="7"/>
      <c r="H96" s="25"/>
      <c r="I96" s="4"/>
    </row>
    <row r="97" spans="1:9" ht="15.75" hidden="1" outlineLevel="2" x14ac:dyDescent="0.25">
      <c r="A97" s="13">
        <v>45535.999803240738</v>
      </c>
      <c r="B97" s="14">
        <v>309</v>
      </c>
      <c r="C97" s="15">
        <v>2.5899999999999999E-3</v>
      </c>
      <c r="D97" s="12"/>
      <c r="E97" s="4"/>
      <c r="F97" s="24"/>
      <c r="G97" s="7"/>
      <c r="H97" s="25"/>
      <c r="I97" s="4"/>
    </row>
    <row r="98" spans="1:9" ht="15.75" hidden="1" outlineLevel="2" x14ac:dyDescent="0.25">
      <c r="A98" s="13">
        <v>45565.999803240738</v>
      </c>
      <c r="B98" s="14">
        <v>140</v>
      </c>
      <c r="C98" s="15">
        <v>1.07E-3</v>
      </c>
      <c r="D98" s="12"/>
      <c r="E98" s="4"/>
      <c r="F98" s="24"/>
      <c r="G98" s="7"/>
      <c r="H98" s="25"/>
      <c r="I98" s="4"/>
    </row>
    <row r="99" spans="1:9" ht="15.75" hidden="1" outlineLevel="2" x14ac:dyDescent="0.25">
      <c r="A99" s="13">
        <v>45596.999803240738</v>
      </c>
      <c r="B99" s="14">
        <v>120</v>
      </c>
      <c r="C99" s="15">
        <v>9.1E-4</v>
      </c>
      <c r="D99" s="12"/>
      <c r="E99" s="4"/>
      <c r="F99" s="24"/>
      <c r="G99" s="7"/>
      <c r="H99" s="25"/>
      <c r="I99" s="4"/>
    </row>
    <row r="100" spans="1:9" ht="15.75" hidden="1" outlineLevel="2" x14ac:dyDescent="0.25">
      <c r="A100" s="13">
        <v>45626.999803240738</v>
      </c>
      <c r="B100" s="14">
        <v>131</v>
      </c>
      <c r="C100" s="15">
        <v>9.8999999999999999E-4</v>
      </c>
      <c r="D100" s="12"/>
      <c r="E100" s="4"/>
      <c r="F100" s="24"/>
      <c r="G100" s="7"/>
      <c r="H100" s="25"/>
      <c r="I100" s="4"/>
    </row>
    <row r="101" spans="1:9" ht="15.75" hidden="1" outlineLevel="2" x14ac:dyDescent="0.25">
      <c r="A101" s="13">
        <v>45657.999803240738</v>
      </c>
      <c r="B101" s="14">
        <v>116</v>
      </c>
      <c r="C101" s="15">
        <v>8.4000000000000003E-4</v>
      </c>
      <c r="D101" s="12"/>
      <c r="E101" s="4"/>
      <c r="F101" s="24"/>
      <c r="G101" s="7"/>
      <c r="H101" s="25"/>
      <c r="I101" s="4"/>
    </row>
    <row r="102" spans="1:9" ht="15.75" hidden="1" outlineLevel="2" x14ac:dyDescent="0.25">
      <c r="A102" s="13">
        <v>45688.999803240738</v>
      </c>
      <c r="B102" s="14">
        <v>143</v>
      </c>
      <c r="C102" s="15">
        <v>1.15E-3</v>
      </c>
      <c r="D102" s="12"/>
      <c r="E102" s="4"/>
      <c r="F102" s="24"/>
      <c r="G102" s="7"/>
      <c r="H102" s="25"/>
      <c r="I102" s="4"/>
    </row>
    <row r="103" spans="1:9" ht="15.75" hidden="1" outlineLevel="2" x14ac:dyDescent="0.25">
      <c r="A103" s="13">
        <v>45716.999803240738</v>
      </c>
      <c r="B103" s="14">
        <v>124</v>
      </c>
      <c r="C103" s="15">
        <v>9.2000000000000003E-4</v>
      </c>
      <c r="D103" s="12"/>
      <c r="E103" s="4"/>
      <c r="F103" s="24"/>
      <c r="G103" s="7"/>
      <c r="H103" s="25"/>
      <c r="I103" s="4"/>
    </row>
    <row r="104" spans="1:9" ht="15.75" hidden="1" outlineLevel="2" x14ac:dyDescent="0.25">
      <c r="A104" s="13">
        <v>45747.999803240738</v>
      </c>
      <c r="B104" s="14">
        <v>150</v>
      </c>
      <c r="C104" s="15">
        <v>1.1999999999999999E-3</v>
      </c>
      <c r="D104" s="12"/>
      <c r="E104" s="4"/>
      <c r="F104" s="24"/>
      <c r="G104" s="7"/>
      <c r="H104" s="25"/>
      <c r="I104" s="4"/>
    </row>
    <row r="105" spans="1:9" ht="15.75" hidden="1" outlineLevel="2" x14ac:dyDescent="0.25">
      <c r="A105" s="13">
        <v>45777.999803240738</v>
      </c>
      <c r="B105" s="14">
        <v>135</v>
      </c>
      <c r="C105" s="15">
        <v>1.07E-3</v>
      </c>
      <c r="D105" s="12"/>
      <c r="E105" s="4"/>
      <c r="F105" s="24"/>
      <c r="G105" s="7"/>
      <c r="H105" s="25"/>
      <c r="I105" s="4"/>
    </row>
    <row r="106" spans="1:9" ht="15.75" hidden="1" outlineLevel="2" x14ac:dyDescent="0.25">
      <c r="A106" s="13">
        <v>45808.999803240738</v>
      </c>
      <c r="B106" s="14">
        <v>127</v>
      </c>
      <c r="C106" s="15">
        <v>1.0499999999999999E-3</v>
      </c>
      <c r="D106" s="12"/>
      <c r="E106" s="4"/>
      <c r="F106" s="24"/>
      <c r="G106" s="7"/>
      <c r="H106" s="25"/>
      <c r="I106" s="4"/>
    </row>
    <row r="107" spans="1:9" ht="15.75" hidden="1" outlineLevel="2" x14ac:dyDescent="0.25">
      <c r="A107" s="13">
        <v>45838.999803240738</v>
      </c>
      <c r="B107" s="14">
        <v>130</v>
      </c>
      <c r="C107" s="15">
        <v>1.07E-3</v>
      </c>
      <c r="D107" s="12"/>
      <c r="E107" s="4"/>
      <c r="F107" s="24"/>
      <c r="G107" s="7"/>
      <c r="H107" s="25"/>
      <c r="I107" s="4"/>
    </row>
    <row r="108" spans="1:9" ht="15.75" hidden="1" outlineLevel="2" x14ac:dyDescent="0.25">
      <c r="A108" s="13">
        <v>45869.999803240738</v>
      </c>
      <c r="B108" s="14">
        <v>123</v>
      </c>
      <c r="C108" s="15">
        <v>1.0499999999999999E-3</v>
      </c>
      <c r="D108" s="12"/>
      <c r="E108" s="4"/>
      <c r="F108" s="24"/>
      <c r="G108" s="7"/>
      <c r="H108" s="25"/>
      <c r="I108" s="4"/>
    </row>
    <row r="109" spans="1:9" ht="15.75" hidden="1" outlineLevel="2" x14ac:dyDescent="0.25">
      <c r="A109" s="13">
        <v>45900.999803240738</v>
      </c>
      <c r="B109" s="14">
        <v>76</v>
      </c>
      <c r="C109" s="15">
        <v>6.6E-4</v>
      </c>
      <c r="D109" s="12"/>
      <c r="E109" s="4"/>
      <c r="F109" s="24"/>
      <c r="G109" s="7"/>
      <c r="H109" s="25"/>
      <c r="I109" s="4"/>
    </row>
    <row r="110" spans="1:9" ht="15.75" hidden="1" outlineLevel="2" x14ac:dyDescent="0.25">
      <c r="A110" s="13">
        <v>45930.999803240738</v>
      </c>
      <c r="B110" s="14">
        <v>105</v>
      </c>
      <c r="C110" s="15">
        <v>8.5999999999999998E-4</v>
      </c>
      <c r="D110" s="12"/>
      <c r="E110" s="4"/>
      <c r="F110" s="24"/>
      <c r="G110" s="7"/>
      <c r="H110" s="25"/>
      <c r="I110" s="4"/>
    </row>
    <row r="111" spans="1:9" ht="15.75" hidden="1" outlineLevel="2" x14ac:dyDescent="0.25">
      <c r="A111" s="13">
        <v>45961.999803240738</v>
      </c>
      <c r="B111" s="14">
        <v>127</v>
      </c>
      <c r="C111" s="15">
        <v>1.0399999999999999E-3</v>
      </c>
      <c r="D111" s="12"/>
      <c r="E111" s="4"/>
      <c r="F111" s="24"/>
      <c r="G111" s="7"/>
      <c r="H111" s="25"/>
      <c r="I111" s="4"/>
    </row>
    <row r="112" spans="1:9" ht="15.75" hidden="1" outlineLevel="2" x14ac:dyDescent="0.25">
      <c r="A112" s="13">
        <v>45991.999803240738</v>
      </c>
      <c r="B112" s="14">
        <v>52</v>
      </c>
      <c r="C112" s="15">
        <v>4.4000000000000002E-4</v>
      </c>
      <c r="D112" s="12"/>
      <c r="E112" s="4"/>
      <c r="F112" s="24"/>
      <c r="G112" s="7"/>
      <c r="H112" s="25"/>
      <c r="I112" s="4"/>
    </row>
    <row r="113" spans="1:9" collapsed="1" x14ac:dyDescent="0.25">
      <c r="A113" s="10" t="s">
        <v>3</v>
      </c>
      <c r="B113" s="11">
        <f>AVERAGE(B89:B112)</f>
        <v>150.91666666666666</v>
      </c>
      <c r="C113" s="11"/>
      <c r="D113" s="338">
        <v>357000</v>
      </c>
      <c r="E113" s="339"/>
      <c r="F113" s="340">
        <f>B114/D113</f>
        <v>5.072829131652661E-3</v>
      </c>
      <c r="G113" s="333"/>
      <c r="H113" s="341">
        <f>$H$29*(F113/$F$29)</f>
        <v>5.072829131652661E-3</v>
      </c>
      <c r="I113" s="339">
        <f>D113*H113</f>
        <v>1811</v>
      </c>
    </row>
    <row r="114" spans="1:9" x14ac:dyDescent="0.25">
      <c r="A114" s="9" t="s">
        <v>4</v>
      </c>
      <c r="B114" s="3">
        <f>B113*12</f>
        <v>1811</v>
      </c>
      <c r="C114" s="3"/>
      <c r="D114" s="338"/>
      <c r="E114" s="339"/>
      <c r="F114" s="340"/>
      <c r="G114" s="333"/>
      <c r="H114" s="341"/>
      <c r="I114" s="339"/>
    </row>
    <row r="115" spans="1:9" x14ac:dyDescent="0.25">
      <c r="A115" s="8" t="s">
        <v>8</v>
      </c>
      <c r="B115" s="8"/>
      <c r="C115" s="22" t="s">
        <v>32</v>
      </c>
      <c r="D115" s="12"/>
      <c r="E115" s="4"/>
      <c r="F115" s="24"/>
      <c r="G115" s="7"/>
      <c r="H115" s="25"/>
      <c r="I115" s="4"/>
    </row>
    <row r="116" spans="1:9" ht="28.5" hidden="1" outlineLevel="2" x14ac:dyDescent="0.25">
      <c r="A116" s="2" t="s">
        <v>1</v>
      </c>
      <c r="B116" s="2" t="s">
        <v>2</v>
      </c>
      <c r="C116" s="2"/>
      <c r="D116" s="12"/>
      <c r="E116" s="4"/>
      <c r="F116" s="24"/>
      <c r="G116" s="7"/>
      <c r="H116" s="25"/>
      <c r="I116" s="4"/>
    </row>
    <row r="117" spans="1:9" hidden="1" outlineLevel="2" x14ac:dyDescent="0.25">
      <c r="A117" s="16">
        <v>45199.999803240738</v>
      </c>
      <c r="B117" s="1">
        <v>497</v>
      </c>
      <c r="C117" s="17">
        <v>2.8E-3</v>
      </c>
      <c r="D117" s="12"/>
      <c r="E117" s="4"/>
      <c r="F117" s="24"/>
      <c r="G117" s="7"/>
      <c r="H117" s="25"/>
      <c r="I117" s="4"/>
    </row>
    <row r="118" spans="1:9" hidden="1" outlineLevel="2" x14ac:dyDescent="0.25">
      <c r="A118" s="16">
        <v>45230.999803240738</v>
      </c>
      <c r="B118" s="1">
        <v>475</v>
      </c>
      <c r="C118" s="17">
        <v>2.5999999999999999E-3</v>
      </c>
      <c r="D118" s="12"/>
      <c r="E118" s="4"/>
      <c r="F118" s="24"/>
      <c r="G118" s="7"/>
      <c r="H118" s="25"/>
      <c r="I118" s="4"/>
    </row>
    <row r="119" spans="1:9" hidden="1" outlineLevel="2" x14ac:dyDescent="0.25">
      <c r="A119" s="16">
        <v>45260.999803240738</v>
      </c>
      <c r="B119" s="1">
        <v>439</v>
      </c>
      <c r="C119" s="17">
        <v>2.3999999999999998E-3</v>
      </c>
      <c r="D119" s="12"/>
      <c r="E119" s="4"/>
      <c r="F119" s="24"/>
      <c r="G119" s="7"/>
      <c r="H119" s="25"/>
      <c r="I119" s="4"/>
    </row>
    <row r="120" spans="1:9" hidden="1" outlineLevel="2" x14ac:dyDescent="0.25">
      <c r="A120" s="16">
        <v>45291.999803240738</v>
      </c>
      <c r="B120" s="1">
        <v>468</v>
      </c>
      <c r="C120" s="17">
        <v>2.3999999999999998E-3</v>
      </c>
      <c r="D120" s="12"/>
      <c r="E120" s="4"/>
      <c r="F120" s="24"/>
      <c r="G120" s="7"/>
      <c r="H120" s="25"/>
      <c r="I120" s="4"/>
    </row>
    <row r="121" spans="1:9" hidden="1" outlineLevel="2" x14ac:dyDescent="0.25">
      <c r="A121" s="16">
        <v>45322.999803240738</v>
      </c>
      <c r="B121" s="1">
        <v>520</v>
      </c>
      <c r="C121" s="17">
        <v>2.8999999999999998E-3</v>
      </c>
      <c r="D121" s="12"/>
      <c r="E121" s="4"/>
      <c r="F121" s="24"/>
      <c r="G121" s="7"/>
      <c r="H121" s="25"/>
      <c r="I121" s="4"/>
    </row>
    <row r="122" spans="1:9" hidden="1" outlineLevel="2" x14ac:dyDescent="0.25">
      <c r="A122" s="16">
        <v>45351.999803240738</v>
      </c>
      <c r="B122" s="1">
        <v>777</v>
      </c>
      <c r="C122" s="17">
        <v>4.4000000000000003E-3</v>
      </c>
      <c r="D122" s="12"/>
      <c r="E122" s="4"/>
      <c r="F122" s="24"/>
      <c r="G122" s="7"/>
      <c r="H122" s="25"/>
      <c r="I122" s="4"/>
    </row>
    <row r="123" spans="1:9" hidden="1" outlineLevel="2" x14ac:dyDescent="0.25">
      <c r="A123" s="16">
        <v>45382.999803240738</v>
      </c>
      <c r="B123" s="1">
        <v>773</v>
      </c>
      <c r="C123" s="17">
        <v>4.4999999999999997E-3</v>
      </c>
      <c r="D123" s="12"/>
      <c r="E123" s="4"/>
      <c r="F123" s="24"/>
      <c r="G123" s="7"/>
      <c r="H123" s="25"/>
      <c r="I123" s="4"/>
    </row>
    <row r="124" spans="1:9" hidden="1" outlineLevel="2" x14ac:dyDescent="0.25">
      <c r="A124" s="16">
        <v>45412.999803240738</v>
      </c>
      <c r="B124" s="1">
        <v>617</v>
      </c>
      <c r="C124" s="17">
        <v>3.7000000000000002E-3</v>
      </c>
      <c r="D124" s="12"/>
      <c r="E124" s="4"/>
      <c r="F124" s="24"/>
      <c r="G124" s="7"/>
      <c r="H124" s="25"/>
      <c r="I124" s="4"/>
    </row>
    <row r="125" spans="1:9" hidden="1" outlineLevel="2" x14ac:dyDescent="0.25">
      <c r="A125" s="16">
        <v>45443.999803240738</v>
      </c>
      <c r="B125" s="1">
        <v>698</v>
      </c>
      <c r="C125" s="17">
        <v>4.5999999999999999E-3</v>
      </c>
      <c r="D125" s="12"/>
      <c r="E125" s="4"/>
      <c r="F125" s="24"/>
      <c r="G125" s="7"/>
      <c r="H125" s="25"/>
      <c r="I125" s="4"/>
    </row>
    <row r="126" spans="1:9" hidden="1" outlineLevel="2" x14ac:dyDescent="0.25">
      <c r="A126" s="16">
        <v>45473.999803240738</v>
      </c>
      <c r="B126" s="1">
        <v>737</v>
      </c>
      <c r="C126" s="17">
        <v>4.7999999999999996E-3</v>
      </c>
      <c r="D126" s="12"/>
      <c r="E126" s="4"/>
      <c r="F126" s="24"/>
      <c r="G126" s="7"/>
      <c r="H126" s="25"/>
      <c r="I126" s="4"/>
    </row>
    <row r="127" spans="1:9" hidden="1" outlineLevel="2" x14ac:dyDescent="0.25">
      <c r="A127" s="16">
        <v>45504.999803240738</v>
      </c>
      <c r="B127" s="1">
        <v>541</v>
      </c>
      <c r="C127" s="17">
        <v>3.5999999999999999E-3</v>
      </c>
      <c r="D127" s="12"/>
      <c r="E127" s="4"/>
      <c r="F127" s="24"/>
      <c r="G127" s="7"/>
      <c r="H127" s="25"/>
      <c r="I127" s="4"/>
    </row>
    <row r="128" spans="1:9" hidden="1" outlineLevel="2" x14ac:dyDescent="0.25">
      <c r="A128" s="16">
        <v>45535.999803240738</v>
      </c>
      <c r="B128" s="1">
        <v>578</v>
      </c>
      <c r="C128" s="17">
        <v>3.7000000000000002E-3</v>
      </c>
      <c r="D128" s="12"/>
      <c r="E128" s="4"/>
      <c r="F128" s="24"/>
      <c r="G128" s="7"/>
      <c r="H128" s="25"/>
      <c r="I128" s="4"/>
    </row>
    <row r="129" spans="1:9" hidden="1" outlineLevel="2" x14ac:dyDescent="0.25">
      <c r="A129" s="16">
        <v>45565.999803240738</v>
      </c>
      <c r="B129" s="1">
        <v>487</v>
      </c>
      <c r="C129" s="17">
        <v>2.8999999999999998E-3</v>
      </c>
      <c r="D129" s="12"/>
      <c r="E129" s="4"/>
      <c r="F129" s="24"/>
      <c r="G129" s="7"/>
      <c r="H129" s="25"/>
      <c r="I129" s="4"/>
    </row>
    <row r="130" spans="1:9" hidden="1" outlineLevel="2" x14ac:dyDescent="0.25">
      <c r="A130" s="16">
        <v>45596.999803240738</v>
      </c>
      <c r="B130" s="1">
        <v>461</v>
      </c>
      <c r="C130" s="17">
        <v>2.7000000000000001E-3</v>
      </c>
      <c r="D130" s="12"/>
      <c r="E130" s="4"/>
      <c r="F130" s="24"/>
      <c r="G130" s="7"/>
      <c r="H130" s="25"/>
      <c r="I130" s="4"/>
    </row>
    <row r="131" spans="1:9" hidden="1" outlineLevel="2" x14ac:dyDescent="0.25">
      <c r="A131" s="16">
        <v>45626.999803240738</v>
      </c>
      <c r="B131" s="1">
        <v>380</v>
      </c>
      <c r="C131" s="17">
        <v>2.2000000000000001E-3</v>
      </c>
      <c r="D131" s="12"/>
      <c r="E131" s="4"/>
      <c r="F131" s="24"/>
      <c r="G131" s="7"/>
      <c r="H131" s="25"/>
      <c r="I131" s="4"/>
    </row>
    <row r="132" spans="1:9" hidden="1" outlineLevel="2" x14ac:dyDescent="0.25">
      <c r="A132" s="16">
        <v>45657.999803240738</v>
      </c>
      <c r="B132" s="1">
        <v>334</v>
      </c>
      <c r="C132" s="17">
        <v>1.8E-3</v>
      </c>
      <c r="D132" s="12"/>
      <c r="E132" s="4"/>
      <c r="F132" s="24"/>
      <c r="G132" s="7"/>
      <c r="H132" s="25"/>
      <c r="I132" s="4"/>
    </row>
    <row r="133" spans="1:9" hidden="1" outlineLevel="2" x14ac:dyDescent="0.25">
      <c r="A133" s="16">
        <v>45688.999803240738</v>
      </c>
      <c r="B133" s="1">
        <v>458</v>
      </c>
      <c r="C133" s="17">
        <v>2.8E-3</v>
      </c>
      <c r="D133" s="12"/>
      <c r="E133" s="4"/>
      <c r="F133" s="24"/>
      <c r="G133" s="7"/>
      <c r="H133" s="25"/>
      <c r="I133" s="4"/>
    </row>
    <row r="134" spans="1:9" hidden="1" outlineLevel="2" x14ac:dyDescent="0.25">
      <c r="A134" s="16">
        <v>45716.999803240738</v>
      </c>
      <c r="B134" s="1">
        <v>663</v>
      </c>
      <c r="C134" s="17">
        <v>3.8E-3</v>
      </c>
      <c r="D134" s="12"/>
      <c r="E134" s="4"/>
      <c r="F134" s="24"/>
      <c r="G134" s="7"/>
      <c r="H134" s="25"/>
      <c r="I134" s="4"/>
    </row>
    <row r="135" spans="1:9" hidden="1" outlineLevel="2" x14ac:dyDescent="0.25">
      <c r="A135" s="16">
        <v>45747.999803240738</v>
      </c>
      <c r="B135" s="1">
        <v>605</v>
      </c>
      <c r="C135" s="17">
        <v>3.8E-3</v>
      </c>
      <c r="D135" s="12"/>
      <c r="E135" s="4"/>
      <c r="F135" s="24"/>
      <c r="G135" s="7"/>
      <c r="H135" s="25"/>
      <c r="I135" s="4"/>
    </row>
    <row r="136" spans="1:9" hidden="1" outlineLevel="2" x14ac:dyDescent="0.25">
      <c r="A136" s="16">
        <v>45777.999803240738</v>
      </c>
      <c r="B136" s="1">
        <v>577</v>
      </c>
      <c r="C136" s="17">
        <v>3.5999999999999999E-3</v>
      </c>
      <c r="D136" s="12"/>
      <c r="E136" s="4"/>
      <c r="F136" s="24"/>
      <c r="G136" s="7"/>
      <c r="H136" s="25"/>
      <c r="I136" s="4"/>
    </row>
    <row r="137" spans="1:9" hidden="1" outlineLevel="2" x14ac:dyDescent="0.25">
      <c r="A137" s="16">
        <v>45808.999803240738</v>
      </c>
      <c r="B137" s="1">
        <v>675</v>
      </c>
      <c r="C137" s="17">
        <v>4.4999999999999997E-3</v>
      </c>
      <c r="D137" s="12"/>
      <c r="E137" s="4"/>
      <c r="F137" s="24"/>
      <c r="G137" s="7"/>
      <c r="H137" s="25"/>
      <c r="I137" s="4"/>
    </row>
    <row r="138" spans="1:9" hidden="1" outlineLevel="2" x14ac:dyDescent="0.25">
      <c r="A138" s="16">
        <v>45838.999803240738</v>
      </c>
      <c r="B138" s="1">
        <v>479</v>
      </c>
      <c r="C138" s="17">
        <v>3.2000000000000002E-3</v>
      </c>
      <c r="D138" s="12"/>
      <c r="E138" s="4"/>
      <c r="F138" s="24"/>
      <c r="G138" s="7"/>
      <c r="H138" s="25"/>
      <c r="I138" s="4"/>
    </row>
    <row r="139" spans="1:9" hidden="1" outlineLevel="2" x14ac:dyDescent="0.25">
      <c r="A139" s="16">
        <v>45869.999803240738</v>
      </c>
      <c r="B139" s="1">
        <v>275</v>
      </c>
      <c r="C139" s="17">
        <v>1.9E-3</v>
      </c>
      <c r="D139" s="12"/>
      <c r="E139" s="4"/>
      <c r="F139" s="24"/>
      <c r="G139" s="7"/>
      <c r="H139" s="25"/>
      <c r="I139" s="4"/>
    </row>
    <row r="140" spans="1:9" hidden="1" outlineLevel="2" x14ac:dyDescent="0.25">
      <c r="A140" s="16">
        <v>45900.999803240738</v>
      </c>
      <c r="B140" s="1">
        <v>445</v>
      </c>
      <c r="C140" s="17">
        <v>3.0999999999999999E-3</v>
      </c>
      <c r="D140" s="12"/>
      <c r="E140" s="4"/>
      <c r="F140" s="24"/>
      <c r="G140" s="7"/>
      <c r="H140" s="25"/>
      <c r="I140" s="4"/>
    </row>
    <row r="141" spans="1:9" collapsed="1" x14ac:dyDescent="0.25">
      <c r="A141" s="10" t="s">
        <v>3</v>
      </c>
      <c r="B141" s="11">
        <f>AVERAGE(B117:B140)</f>
        <v>539.95833333333337</v>
      </c>
      <c r="C141" s="11"/>
      <c r="D141" s="338">
        <v>357000</v>
      </c>
      <c r="E141" s="339">
        <v>5968</v>
      </c>
      <c r="F141" s="340">
        <f>B142/D141</f>
        <v>1.8149859943977591E-2</v>
      </c>
      <c r="G141" s="333">
        <f>B142/E141</f>
        <v>1.0857071045576407</v>
      </c>
      <c r="H141" s="341">
        <f>$H$29*(F141/$F$29)</f>
        <v>1.8149859943977591E-2</v>
      </c>
      <c r="I141" s="339">
        <f>D141*H141</f>
        <v>6479.5</v>
      </c>
    </row>
    <row r="142" spans="1:9" x14ac:dyDescent="0.25">
      <c r="A142" s="9" t="s">
        <v>4</v>
      </c>
      <c r="B142" s="3">
        <f>B141*12</f>
        <v>6479.5</v>
      </c>
      <c r="C142" s="3"/>
      <c r="D142" s="338"/>
      <c r="E142" s="339"/>
      <c r="F142" s="340"/>
      <c r="G142" s="333"/>
      <c r="H142" s="341"/>
      <c r="I142" s="339"/>
    </row>
    <row r="143" spans="1:9" x14ac:dyDescent="0.25">
      <c r="A143" s="8" t="s">
        <v>0</v>
      </c>
      <c r="B143" s="8"/>
      <c r="C143" s="22" t="s">
        <v>32</v>
      </c>
      <c r="D143" s="12"/>
      <c r="E143" s="4"/>
      <c r="F143" s="24"/>
      <c r="G143" s="7"/>
      <c r="H143" s="25"/>
      <c r="I143" s="4"/>
    </row>
    <row r="144" spans="1:9" ht="28.5" hidden="1" outlineLevel="1" x14ac:dyDescent="0.25">
      <c r="A144" s="2" t="s">
        <v>1</v>
      </c>
      <c r="B144" s="2" t="s">
        <v>2</v>
      </c>
      <c r="C144" s="2"/>
      <c r="D144" s="12"/>
      <c r="E144" s="4"/>
      <c r="F144" s="24"/>
      <c r="G144" s="7"/>
      <c r="H144" s="25"/>
      <c r="I144" s="4"/>
    </row>
    <row r="145" spans="1:9" hidden="1" outlineLevel="1" x14ac:dyDescent="0.25">
      <c r="A145" s="16">
        <v>45291.999803240738</v>
      </c>
      <c r="B145" s="1">
        <v>433</v>
      </c>
      <c r="C145" s="17">
        <v>2.3999999999999998E-3</v>
      </c>
      <c r="D145" s="12"/>
      <c r="E145" s="4"/>
      <c r="F145" s="24"/>
      <c r="G145" s="7"/>
      <c r="H145" s="25"/>
      <c r="I145" s="4"/>
    </row>
    <row r="146" spans="1:9" hidden="1" outlineLevel="1" x14ac:dyDescent="0.25">
      <c r="A146" s="16">
        <v>45322.999803240738</v>
      </c>
      <c r="B146" s="1">
        <v>686</v>
      </c>
      <c r="C146" s="17">
        <v>4.1000000000000003E-3</v>
      </c>
      <c r="D146" s="12"/>
      <c r="E146" s="4"/>
      <c r="F146" s="24"/>
      <c r="G146" s="7"/>
      <c r="H146" s="25"/>
      <c r="I146" s="4"/>
    </row>
    <row r="147" spans="1:9" hidden="1" outlineLevel="1" x14ac:dyDescent="0.25">
      <c r="A147" s="16">
        <v>45351.999803240738</v>
      </c>
      <c r="B147" s="1">
        <v>888</v>
      </c>
      <c r="C147" s="17">
        <v>5.4000000000000003E-3</v>
      </c>
      <c r="D147" s="12"/>
      <c r="E147" s="4"/>
      <c r="F147" s="24"/>
      <c r="G147" s="7"/>
      <c r="H147" s="25"/>
      <c r="I147" s="4"/>
    </row>
    <row r="148" spans="1:9" hidden="1" outlineLevel="1" x14ac:dyDescent="0.25">
      <c r="A148" s="16">
        <v>45382.999803240738</v>
      </c>
      <c r="B148" s="1">
        <v>743</v>
      </c>
      <c r="C148" s="17">
        <v>4.5999999999999999E-3</v>
      </c>
      <c r="D148" s="12"/>
      <c r="E148" s="4"/>
      <c r="F148" s="24"/>
      <c r="G148" s="7"/>
      <c r="H148" s="25"/>
      <c r="I148" s="4"/>
    </row>
    <row r="149" spans="1:9" hidden="1" outlineLevel="1" x14ac:dyDescent="0.25">
      <c r="A149" s="16">
        <v>45412.999803240738</v>
      </c>
      <c r="B149" s="1">
        <v>640</v>
      </c>
      <c r="C149" s="17">
        <v>4.3E-3</v>
      </c>
      <c r="D149" s="12"/>
      <c r="E149" s="4"/>
      <c r="F149" s="24"/>
      <c r="G149" s="7"/>
      <c r="H149" s="25"/>
      <c r="I149" s="4"/>
    </row>
    <row r="150" spans="1:9" hidden="1" outlineLevel="1" x14ac:dyDescent="0.25">
      <c r="A150" s="16">
        <v>45443.999803240738</v>
      </c>
      <c r="B150" s="1">
        <v>460</v>
      </c>
      <c r="C150" s="17">
        <v>3.3999999999999998E-3</v>
      </c>
      <c r="D150" s="12"/>
      <c r="E150" s="4"/>
      <c r="F150" s="24"/>
      <c r="G150" s="7"/>
      <c r="H150" s="25"/>
      <c r="I150" s="4"/>
    </row>
    <row r="151" spans="1:9" hidden="1" outlineLevel="1" x14ac:dyDescent="0.25">
      <c r="A151" s="16">
        <v>45473.999803240738</v>
      </c>
      <c r="B151" s="1">
        <v>566</v>
      </c>
      <c r="C151" s="17">
        <v>4.1000000000000003E-3</v>
      </c>
      <c r="D151" s="12"/>
      <c r="E151" s="4"/>
      <c r="F151" s="24"/>
      <c r="G151" s="7"/>
      <c r="H151" s="25"/>
      <c r="I151" s="4"/>
    </row>
    <row r="152" spans="1:9" hidden="1" outlineLevel="1" x14ac:dyDescent="0.25">
      <c r="A152" s="16">
        <v>45504.999803240738</v>
      </c>
      <c r="B152" s="1">
        <v>551</v>
      </c>
      <c r="C152" s="17">
        <v>4.1000000000000003E-3</v>
      </c>
      <c r="D152" s="12"/>
      <c r="E152" s="4"/>
      <c r="F152" s="24"/>
      <c r="G152" s="7"/>
      <c r="H152" s="25"/>
      <c r="I152" s="4"/>
    </row>
    <row r="153" spans="1:9" hidden="1" outlineLevel="1" x14ac:dyDescent="0.25">
      <c r="A153" s="16">
        <v>45535.999803240738</v>
      </c>
      <c r="B153" s="1">
        <v>506</v>
      </c>
      <c r="C153" s="17">
        <v>3.5999999999999999E-3</v>
      </c>
      <c r="D153" s="12"/>
      <c r="E153" s="4"/>
      <c r="F153" s="24"/>
      <c r="G153" s="7"/>
      <c r="H153" s="25"/>
      <c r="I153" s="4"/>
    </row>
    <row r="154" spans="1:9" hidden="1" outlineLevel="1" x14ac:dyDescent="0.25">
      <c r="A154" s="16">
        <v>45565.999803240738</v>
      </c>
      <c r="B154" s="1">
        <v>358</v>
      </c>
      <c r="C154" s="17">
        <v>2.3E-3</v>
      </c>
      <c r="D154" s="12"/>
      <c r="E154" s="4"/>
      <c r="F154" s="24"/>
      <c r="G154" s="7"/>
      <c r="H154" s="25"/>
      <c r="I154" s="4"/>
    </row>
    <row r="155" spans="1:9" hidden="1" outlineLevel="1" x14ac:dyDescent="0.25">
      <c r="A155" s="16">
        <v>45596.999803240738</v>
      </c>
      <c r="B155" s="1">
        <v>413</v>
      </c>
      <c r="C155" s="17">
        <v>2.7000000000000001E-3</v>
      </c>
      <c r="D155" s="12"/>
      <c r="E155" s="4"/>
      <c r="F155" s="24"/>
      <c r="G155" s="7"/>
      <c r="H155" s="25"/>
      <c r="I155" s="4"/>
    </row>
    <row r="156" spans="1:9" hidden="1" outlineLevel="1" x14ac:dyDescent="0.25">
      <c r="A156" s="16">
        <v>45626.999803240738</v>
      </c>
      <c r="B156" s="1">
        <v>387</v>
      </c>
      <c r="C156" s="17">
        <v>2.3999999999999998E-3</v>
      </c>
      <c r="D156" s="12"/>
      <c r="E156" s="4"/>
      <c r="F156" s="24"/>
      <c r="G156" s="7"/>
      <c r="H156" s="25"/>
      <c r="I156" s="4"/>
    </row>
    <row r="157" spans="1:9" hidden="1" outlineLevel="1" x14ac:dyDescent="0.25">
      <c r="A157" s="16">
        <v>45657.999803240738</v>
      </c>
      <c r="B157" s="1">
        <v>441</v>
      </c>
      <c r="C157" s="17">
        <v>2.5999999999999999E-3</v>
      </c>
      <c r="D157" s="12"/>
      <c r="E157" s="4"/>
      <c r="F157" s="24"/>
      <c r="G157" s="7"/>
      <c r="H157" s="25"/>
      <c r="I157" s="4"/>
    </row>
    <row r="158" spans="1:9" hidden="1" outlineLevel="1" x14ac:dyDescent="0.25">
      <c r="A158" s="16">
        <v>45688.999803240738</v>
      </c>
      <c r="B158" s="1">
        <v>348</v>
      </c>
      <c r="C158" s="17">
        <v>2.3E-3</v>
      </c>
      <c r="D158" s="12"/>
      <c r="E158" s="4"/>
      <c r="F158" s="24"/>
      <c r="G158" s="7"/>
      <c r="H158" s="25"/>
      <c r="I158" s="4"/>
    </row>
    <row r="159" spans="1:9" hidden="1" outlineLevel="1" x14ac:dyDescent="0.25">
      <c r="A159" s="16">
        <v>45716.999803240738</v>
      </c>
      <c r="B159" s="1">
        <v>647</v>
      </c>
      <c r="C159" s="17">
        <v>3.8999999999999998E-3</v>
      </c>
      <c r="D159" s="12"/>
      <c r="E159" s="4"/>
      <c r="F159" s="24"/>
      <c r="G159" s="7"/>
      <c r="H159" s="25"/>
      <c r="I159" s="4"/>
    </row>
    <row r="160" spans="1:9" hidden="1" outlineLevel="1" x14ac:dyDescent="0.25">
      <c r="A160" s="16">
        <v>45747.999803240738</v>
      </c>
      <c r="B160" s="1">
        <v>480</v>
      </c>
      <c r="C160" s="17">
        <v>3.2000000000000002E-3</v>
      </c>
      <c r="D160" s="12"/>
      <c r="E160" s="4"/>
      <c r="F160" s="24"/>
      <c r="G160" s="7"/>
      <c r="H160" s="25"/>
      <c r="I160" s="4"/>
    </row>
    <row r="161" spans="1:9" hidden="1" outlineLevel="1" x14ac:dyDescent="0.25">
      <c r="A161" s="16">
        <v>45777.999803240738</v>
      </c>
      <c r="B161" s="1">
        <v>452</v>
      </c>
      <c r="C161" s="17">
        <v>3.0000000000000001E-3</v>
      </c>
      <c r="D161" s="12"/>
      <c r="E161" s="4"/>
      <c r="F161" s="24"/>
      <c r="G161" s="7"/>
      <c r="H161" s="25"/>
      <c r="I161" s="4"/>
    </row>
    <row r="162" spans="1:9" hidden="1" outlineLevel="1" x14ac:dyDescent="0.25">
      <c r="A162" s="16">
        <v>45808.999803240738</v>
      </c>
      <c r="B162" s="1">
        <v>393</v>
      </c>
      <c r="C162" s="17">
        <v>2.8E-3</v>
      </c>
      <c r="D162" s="12"/>
      <c r="E162" s="4"/>
      <c r="F162" s="24"/>
      <c r="G162" s="7"/>
      <c r="H162" s="25"/>
      <c r="I162" s="4"/>
    </row>
    <row r="163" spans="1:9" hidden="1" outlineLevel="1" x14ac:dyDescent="0.25">
      <c r="A163" s="16">
        <v>45838.999803240738</v>
      </c>
      <c r="B163" s="1">
        <v>346</v>
      </c>
      <c r="C163" s="17">
        <v>2.3999999999999998E-3</v>
      </c>
      <c r="D163" s="12"/>
      <c r="E163" s="4"/>
      <c r="F163" s="24"/>
      <c r="G163" s="7"/>
      <c r="H163" s="25"/>
      <c r="I163" s="4"/>
    </row>
    <row r="164" spans="1:9" hidden="1" outlineLevel="1" x14ac:dyDescent="0.25">
      <c r="A164" s="16">
        <v>45869.999803240738</v>
      </c>
      <c r="B164" s="1">
        <v>397</v>
      </c>
      <c r="C164" s="17">
        <v>2.8999999999999998E-3</v>
      </c>
      <c r="D164" s="12"/>
      <c r="E164" s="4"/>
      <c r="F164" s="24"/>
      <c r="G164" s="7"/>
      <c r="H164" s="25"/>
      <c r="I164" s="4"/>
    </row>
    <row r="165" spans="1:9" hidden="1" outlineLevel="1" x14ac:dyDescent="0.25">
      <c r="A165" s="16">
        <v>45900.999803240738</v>
      </c>
      <c r="B165" s="1">
        <v>317</v>
      </c>
      <c r="C165" s="17">
        <v>2.3E-3</v>
      </c>
      <c r="D165" s="12"/>
      <c r="E165" s="4"/>
      <c r="F165" s="24"/>
      <c r="G165" s="7"/>
      <c r="H165" s="25"/>
      <c r="I165" s="4"/>
    </row>
    <row r="166" spans="1:9" hidden="1" outlineLevel="1" x14ac:dyDescent="0.25">
      <c r="A166" s="16">
        <v>45930.999803240738</v>
      </c>
      <c r="B166" s="1">
        <v>283</v>
      </c>
      <c r="C166" s="17">
        <v>1.9E-3</v>
      </c>
      <c r="D166" s="12"/>
      <c r="E166" s="4"/>
      <c r="F166" s="24"/>
      <c r="G166" s="7"/>
      <c r="H166" s="25"/>
      <c r="I166" s="4"/>
    </row>
    <row r="167" spans="1:9" hidden="1" outlineLevel="1" x14ac:dyDescent="0.25">
      <c r="A167" s="16">
        <v>45961.999803240738</v>
      </c>
      <c r="B167" s="1">
        <v>315</v>
      </c>
      <c r="C167" s="17">
        <v>2.0999999999999999E-3</v>
      </c>
      <c r="D167" s="12"/>
      <c r="E167" s="4"/>
      <c r="F167" s="24"/>
      <c r="G167" s="7"/>
      <c r="H167" s="25"/>
      <c r="I167" s="4"/>
    </row>
    <row r="168" spans="1:9" hidden="1" outlineLevel="1" x14ac:dyDescent="0.25">
      <c r="A168" s="16">
        <v>45991.999803240738</v>
      </c>
      <c r="B168" s="1">
        <v>273</v>
      </c>
      <c r="C168" s="17">
        <v>1.9E-3</v>
      </c>
      <c r="D168" s="12"/>
      <c r="E168" s="4"/>
      <c r="F168" s="24"/>
      <c r="G168" s="7"/>
      <c r="H168" s="25"/>
      <c r="I168" s="4"/>
    </row>
    <row r="169" spans="1:9" collapsed="1" x14ac:dyDescent="0.25">
      <c r="A169" s="10" t="s">
        <v>3</v>
      </c>
      <c r="B169" s="11">
        <f>AVERAGE(B145:B168)</f>
        <v>471.79166666666669</v>
      </c>
      <c r="C169" s="11"/>
      <c r="D169" s="338">
        <v>353000</v>
      </c>
      <c r="E169" s="339">
        <v>5831</v>
      </c>
      <c r="F169" s="340">
        <f>B170/D169</f>
        <v>1.6038243626062324E-2</v>
      </c>
      <c r="G169" s="333">
        <f>B170/E169</f>
        <v>0.97093122963471101</v>
      </c>
      <c r="H169" s="341">
        <f>$H$29*(F169/$F$29)</f>
        <v>1.6038243626062324E-2</v>
      </c>
      <c r="I169" s="339">
        <f>D169*H169</f>
        <v>5661.5</v>
      </c>
    </row>
    <row r="170" spans="1:9" x14ac:dyDescent="0.25">
      <c r="A170" s="9" t="s">
        <v>4</v>
      </c>
      <c r="B170" s="3">
        <f>B169*12</f>
        <v>5661.5</v>
      </c>
      <c r="C170" s="3"/>
      <c r="D170" s="338"/>
      <c r="E170" s="339"/>
      <c r="F170" s="340"/>
      <c r="G170" s="333"/>
      <c r="H170" s="341"/>
      <c r="I170" s="339"/>
    </row>
    <row r="171" spans="1:9" x14ac:dyDescent="0.25">
      <c r="A171" s="8" t="s">
        <v>9</v>
      </c>
      <c r="B171" s="8"/>
      <c r="C171" s="22" t="s">
        <v>32</v>
      </c>
      <c r="D171" s="12"/>
      <c r="E171" s="4"/>
      <c r="F171" s="24"/>
      <c r="G171" s="7"/>
      <c r="H171" s="25"/>
      <c r="I171" s="4"/>
    </row>
    <row r="172" spans="1:9" ht="28.5" hidden="1" outlineLevel="1" x14ac:dyDescent="0.25">
      <c r="A172" s="2" t="s">
        <v>1</v>
      </c>
      <c r="B172" s="2" t="s">
        <v>2</v>
      </c>
      <c r="C172" s="2"/>
      <c r="D172" s="12"/>
      <c r="E172" s="4"/>
      <c r="F172" s="24"/>
      <c r="G172" s="7"/>
      <c r="H172" s="25"/>
      <c r="I172" s="4"/>
    </row>
    <row r="173" spans="1:9" ht="15.75" hidden="1" outlineLevel="1" x14ac:dyDescent="0.25">
      <c r="A173" s="13">
        <v>45291.999803240738</v>
      </c>
      <c r="B173" s="14">
        <v>518</v>
      </c>
      <c r="C173" s="15">
        <v>2.0999999999999999E-3</v>
      </c>
      <c r="D173" s="12"/>
      <c r="E173" s="4"/>
      <c r="F173" s="24"/>
      <c r="G173" s="7"/>
      <c r="H173" s="25"/>
      <c r="I173" s="4"/>
    </row>
    <row r="174" spans="1:9" ht="15.75" hidden="1" outlineLevel="1" x14ac:dyDescent="0.25">
      <c r="A174" s="13">
        <v>45322.999803240738</v>
      </c>
      <c r="B174" s="14">
        <v>653</v>
      </c>
      <c r="C174" s="15">
        <v>2.8999999999999998E-3</v>
      </c>
      <c r="D174" s="12"/>
      <c r="E174" s="4"/>
      <c r="F174" s="24"/>
      <c r="G174" s="7"/>
      <c r="H174" s="25"/>
      <c r="I174" s="4"/>
    </row>
    <row r="175" spans="1:9" ht="15.75" hidden="1" outlineLevel="1" x14ac:dyDescent="0.25">
      <c r="A175" s="13">
        <v>45351.999803240738</v>
      </c>
      <c r="B175" s="14">
        <v>894</v>
      </c>
      <c r="C175" s="15">
        <v>4.0000000000000001E-3</v>
      </c>
      <c r="D175" s="12"/>
      <c r="E175" s="4"/>
      <c r="F175" s="24"/>
      <c r="G175" s="7"/>
      <c r="H175" s="25"/>
      <c r="I175" s="4"/>
    </row>
    <row r="176" spans="1:9" ht="15.75" hidden="1" outlineLevel="1" x14ac:dyDescent="0.25">
      <c r="A176" s="13">
        <v>45382.999803240738</v>
      </c>
      <c r="B176" s="14">
        <v>1011</v>
      </c>
      <c r="C176" s="15">
        <v>4.7999999999999996E-3</v>
      </c>
      <c r="D176" s="12"/>
      <c r="E176" s="4"/>
      <c r="F176" s="24"/>
      <c r="G176" s="7"/>
      <c r="H176" s="25"/>
      <c r="I176" s="4"/>
    </row>
    <row r="177" spans="1:9" ht="15.75" hidden="1" outlineLevel="1" x14ac:dyDescent="0.25">
      <c r="A177" s="13">
        <v>45412.999803240738</v>
      </c>
      <c r="B177" s="14">
        <v>848</v>
      </c>
      <c r="C177" s="15">
        <v>4.1000000000000003E-3</v>
      </c>
      <c r="D177" s="12"/>
      <c r="E177" s="4"/>
      <c r="F177" s="24"/>
      <c r="G177" s="7"/>
      <c r="H177" s="25"/>
      <c r="I177" s="4"/>
    </row>
    <row r="178" spans="1:9" ht="15.75" hidden="1" outlineLevel="1" x14ac:dyDescent="0.25">
      <c r="A178" s="13">
        <v>45443.999803240738</v>
      </c>
      <c r="B178" s="14">
        <v>851</v>
      </c>
      <c r="C178" s="15">
        <v>4.3E-3</v>
      </c>
      <c r="D178" s="12"/>
      <c r="E178" s="4"/>
      <c r="F178" s="24"/>
      <c r="G178" s="7"/>
      <c r="H178" s="25"/>
      <c r="I178" s="4"/>
    </row>
    <row r="179" spans="1:9" ht="15.75" hidden="1" outlineLevel="1" x14ac:dyDescent="0.25">
      <c r="A179" s="13">
        <v>45473.999803240738</v>
      </c>
      <c r="B179" s="14">
        <v>851</v>
      </c>
      <c r="C179" s="15">
        <v>4.4000000000000003E-3</v>
      </c>
      <c r="D179" s="12"/>
      <c r="E179" s="4"/>
      <c r="F179" s="24"/>
      <c r="G179" s="7"/>
      <c r="H179" s="25"/>
      <c r="I179" s="4"/>
    </row>
    <row r="180" spans="1:9" ht="15.75" hidden="1" outlineLevel="1" x14ac:dyDescent="0.25">
      <c r="A180" s="13">
        <v>45504.999803240738</v>
      </c>
      <c r="B180" s="14">
        <v>595</v>
      </c>
      <c r="C180" s="15">
        <v>3.0999999999999999E-3</v>
      </c>
      <c r="D180" s="12"/>
      <c r="E180" s="4"/>
      <c r="F180" s="24"/>
      <c r="G180" s="7"/>
      <c r="H180" s="25"/>
      <c r="I180" s="4"/>
    </row>
    <row r="181" spans="1:9" ht="15.75" hidden="1" outlineLevel="1" x14ac:dyDescent="0.25">
      <c r="A181" s="13">
        <v>45535.999803240738</v>
      </c>
      <c r="B181" s="14">
        <v>511</v>
      </c>
      <c r="C181" s="15">
        <v>2.5999999999999999E-3</v>
      </c>
      <c r="D181" s="12"/>
      <c r="E181" s="4"/>
      <c r="F181" s="24"/>
      <c r="G181" s="7"/>
      <c r="H181" s="25"/>
      <c r="I181" s="4"/>
    </row>
    <row r="182" spans="1:9" ht="15.75" hidden="1" outlineLevel="1" x14ac:dyDescent="0.25">
      <c r="A182" s="13">
        <v>45565.999803240738</v>
      </c>
      <c r="B182" s="14">
        <v>613</v>
      </c>
      <c r="C182" s="15">
        <v>2.8999999999999998E-3</v>
      </c>
      <c r="D182" s="12"/>
      <c r="E182" s="4"/>
      <c r="F182" s="24"/>
      <c r="G182" s="7"/>
      <c r="H182" s="25"/>
      <c r="I182" s="4"/>
    </row>
    <row r="183" spans="1:9" ht="15.75" hidden="1" outlineLevel="1" x14ac:dyDescent="0.25">
      <c r="A183" s="13">
        <v>45596.999803240738</v>
      </c>
      <c r="B183" s="14">
        <v>559</v>
      </c>
      <c r="C183" s="15">
        <v>2.5999999999999999E-3</v>
      </c>
      <c r="D183" s="12"/>
      <c r="E183" s="4"/>
      <c r="F183" s="24"/>
      <c r="G183" s="7"/>
      <c r="H183" s="25"/>
      <c r="I183" s="4"/>
    </row>
    <row r="184" spans="1:9" ht="15.75" hidden="1" outlineLevel="1" x14ac:dyDescent="0.25">
      <c r="A184" s="13">
        <v>45626.999803240738</v>
      </c>
      <c r="B184" s="14">
        <v>577</v>
      </c>
      <c r="C184" s="15">
        <v>2.7000000000000001E-3</v>
      </c>
      <c r="D184" s="12"/>
      <c r="E184" s="4"/>
      <c r="F184" s="24"/>
      <c r="G184" s="7"/>
      <c r="H184" s="25"/>
      <c r="I184" s="4"/>
    </row>
    <row r="185" spans="1:9" ht="15.75" hidden="1" outlineLevel="1" x14ac:dyDescent="0.25">
      <c r="A185" s="13">
        <v>45657.999803240738</v>
      </c>
      <c r="B185" s="14">
        <v>478</v>
      </c>
      <c r="C185" s="15">
        <v>2.0999999999999999E-3</v>
      </c>
      <c r="D185" s="12"/>
      <c r="E185" s="4"/>
      <c r="F185" s="24"/>
      <c r="G185" s="7"/>
      <c r="H185" s="25"/>
      <c r="I185" s="4"/>
    </row>
    <row r="186" spans="1:9" ht="15.75" hidden="1" outlineLevel="1" x14ac:dyDescent="0.25">
      <c r="A186" s="13">
        <v>45688.999803240738</v>
      </c>
      <c r="B186" s="14">
        <v>480</v>
      </c>
      <c r="C186" s="15">
        <v>2.3E-3</v>
      </c>
      <c r="D186" s="12"/>
      <c r="E186" s="4"/>
      <c r="F186" s="24"/>
      <c r="G186" s="7"/>
      <c r="H186" s="25"/>
      <c r="I186" s="4"/>
    </row>
    <row r="187" spans="1:9" ht="15.75" hidden="1" outlineLevel="1" x14ac:dyDescent="0.25">
      <c r="A187" s="13">
        <v>45716.999803240738</v>
      </c>
      <c r="B187" s="14">
        <v>840</v>
      </c>
      <c r="C187" s="15">
        <v>3.7000000000000002E-3</v>
      </c>
      <c r="D187" s="12"/>
      <c r="E187" s="4"/>
      <c r="F187" s="24"/>
      <c r="G187" s="7"/>
      <c r="H187" s="25"/>
      <c r="I187" s="4"/>
    </row>
    <row r="188" spans="1:9" ht="15.75" hidden="1" outlineLevel="1" x14ac:dyDescent="0.25">
      <c r="A188" s="13">
        <v>45747.999803240738</v>
      </c>
      <c r="B188" s="14">
        <v>946</v>
      </c>
      <c r="C188" s="15">
        <v>4.4999999999999997E-3</v>
      </c>
      <c r="D188" s="12"/>
      <c r="E188" s="4"/>
      <c r="F188" s="24"/>
      <c r="G188" s="7"/>
      <c r="H188" s="25"/>
      <c r="I188" s="4"/>
    </row>
    <row r="189" spans="1:9" ht="15.75" hidden="1" outlineLevel="1" x14ac:dyDescent="0.25">
      <c r="A189" s="13">
        <v>45777.999803240738</v>
      </c>
      <c r="B189" s="14">
        <v>491</v>
      </c>
      <c r="C189" s="15">
        <v>2.3E-3</v>
      </c>
      <c r="D189" s="12"/>
      <c r="E189" s="4"/>
      <c r="F189" s="24"/>
      <c r="G189" s="7"/>
      <c r="H189" s="25"/>
      <c r="I189" s="4"/>
    </row>
    <row r="190" spans="1:9" ht="15.75" hidden="1" outlineLevel="1" x14ac:dyDescent="0.25">
      <c r="A190" s="13">
        <v>45808.999803240738</v>
      </c>
      <c r="B190" s="14">
        <v>500</v>
      </c>
      <c r="C190" s="15">
        <v>2.3999999999999998E-3</v>
      </c>
      <c r="D190" s="12"/>
      <c r="E190" s="4"/>
      <c r="F190" s="24"/>
      <c r="G190" s="7"/>
      <c r="H190" s="25"/>
      <c r="I190" s="4"/>
    </row>
    <row r="191" spans="1:9" ht="15.75" hidden="1" outlineLevel="1" x14ac:dyDescent="0.25">
      <c r="A191" s="13">
        <v>45838.999803240738</v>
      </c>
      <c r="B191" s="14">
        <v>621</v>
      </c>
      <c r="C191" s="15">
        <v>3.0000000000000001E-3</v>
      </c>
      <c r="D191" s="12"/>
      <c r="E191" s="4"/>
      <c r="F191" s="24"/>
      <c r="G191" s="7"/>
      <c r="H191" s="25"/>
      <c r="I191" s="4"/>
    </row>
    <row r="192" spans="1:9" ht="15.75" hidden="1" outlineLevel="1" x14ac:dyDescent="0.25">
      <c r="A192" s="13">
        <v>45869.999803240738</v>
      </c>
      <c r="B192" s="14">
        <v>569</v>
      </c>
      <c r="C192" s="15">
        <v>2.8E-3</v>
      </c>
      <c r="D192" s="12"/>
      <c r="E192" s="4"/>
      <c r="F192" s="24"/>
      <c r="G192" s="7"/>
      <c r="H192" s="25"/>
      <c r="I192" s="4"/>
    </row>
    <row r="193" spans="1:9" ht="15.75" hidden="1" outlineLevel="1" x14ac:dyDescent="0.25">
      <c r="A193" s="13">
        <v>45900.999803240738</v>
      </c>
      <c r="B193" s="14">
        <v>437</v>
      </c>
      <c r="C193" s="15">
        <v>2.2000000000000001E-3</v>
      </c>
      <c r="D193" s="12"/>
      <c r="E193" s="4"/>
      <c r="F193" s="24"/>
      <c r="G193" s="7"/>
      <c r="H193" s="25"/>
      <c r="I193" s="4"/>
    </row>
    <row r="194" spans="1:9" ht="15.75" hidden="1" outlineLevel="1" x14ac:dyDescent="0.25">
      <c r="A194" s="13">
        <v>45930.999803240738</v>
      </c>
      <c r="B194" s="14">
        <v>408</v>
      </c>
      <c r="C194" s="15">
        <v>2E-3</v>
      </c>
      <c r="D194" s="12"/>
      <c r="E194" s="4"/>
      <c r="F194" s="24"/>
      <c r="G194" s="7"/>
      <c r="H194" s="25"/>
      <c r="I194" s="4"/>
    </row>
    <row r="195" spans="1:9" ht="15.75" hidden="1" outlineLevel="1" x14ac:dyDescent="0.25">
      <c r="A195" s="13">
        <v>45961.999803240738</v>
      </c>
      <c r="B195" s="14">
        <v>382</v>
      </c>
      <c r="C195" s="15">
        <v>1.8E-3</v>
      </c>
      <c r="D195" s="12"/>
      <c r="E195" s="4"/>
      <c r="F195" s="24"/>
      <c r="G195" s="7"/>
      <c r="H195" s="25"/>
      <c r="I195" s="4"/>
    </row>
    <row r="196" spans="1:9" ht="15.75" hidden="1" outlineLevel="1" x14ac:dyDescent="0.25">
      <c r="A196" s="13">
        <v>45991.999803240738</v>
      </c>
      <c r="B196" s="14">
        <v>423</v>
      </c>
      <c r="C196" s="15">
        <v>2.0999999999999999E-3</v>
      </c>
      <c r="D196" s="12"/>
      <c r="E196" s="4"/>
      <c r="F196" s="24"/>
      <c r="G196" s="7"/>
      <c r="H196" s="25"/>
      <c r="I196" s="4"/>
    </row>
    <row r="197" spans="1:9" collapsed="1" x14ac:dyDescent="0.25">
      <c r="A197" s="10" t="s">
        <v>3</v>
      </c>
      <c r="B197" s="11">
        <f>AVERAGE(B173:B196)</f>
        <v>627.33333333333337</v>
      </c>
      <c r="C197" s="11"/>
      <c r="D197" s="338">
        <v>500000</v>
      </c>
      <c r="E197" s="339"/>
      <c r="F197" s="340">
        <f>B198/D197</f>
        <v>1.5056E-2</v>
      </c>
      <c r="G197" s="342"/>
      <c r="H197" s="341">
        <f>$H$29*(F197/$F$29)</f>
        <v>1.5056E-2</v>
      </c>
      <c r="I197" s="339">
        <f>D197*H197</f>
        <v>7528</v>
      </c>
    </row>
    <row r="198" spans="1:9" x14ac:dyDescent="0.25">
      <c r="A198" s="9" t="s">
        <v>4</v>
      </c>
      <c r="B198" s="3">
        <f>B197*12</f>
        <v>7528</v>
      </c>
      <c r="C198" s="3"/>
      <c r="D198" s="338"/>
      <c r="E198" s="339"/>
      <c r="F198" s="340"/>
      <c r="G198" s="342"/>
      <c r="H198" s="341"/>
      <c r="I198" s="339"/>
    </row>
    <row r="199" spans="1:9" x14ac:dyDescent="0.25">
      <c r="A199" s="8" t="s">
        <v>30</v>
      </c>
      <c r="B199" s="8"/>
      <c r="C199" s="22" t="s">
        <v>33</v>
      </c>
      <c r="D199" s="12"/>
      <c r="E199" s="4"/>
      <c r="F199" s="24"/>
      <c r="G199" s="7"/>
      <c r="H199" s="25"/>
      <c r="I199" s="4"/>
    </row>
    <row r="200" spans="1:9" ht="28.5" hidden="1" outlineLevel="1" x14ac:dyDescent="0.25">
      <c r="A200" s="2" t="s">
        <v>1</v>
      </c>
      <c r="B200" s="2" t="s">
        <v>2</v>
      </c>
      <c r="C200" s="2"/>
      <c r="D200" s="12"/>
      <c r="E200" s="4"/>
      <c r="F200" s="24"/>
      <c r="G200" s="7"/>
      <c r="H200" s="25"/>
      <c r="I200" s="4"/>
    </row>
    <row r="201" spans="1:9" ht="15.75" hidden="1" outlineLevel="1" x14ac:dyDescent="0.25">
      <c r="A201" s="13">
        <v>45199.999803240738</v>
      </c>
      <c r="B201" s="14">
        <v>42380</v>
      </c>
      <c r="C201" s="15">
        <v>2.7000000000000001E-3</v>
      </c>
      <c r="D201" s="12"/>
      <c r="E201" s="4"/>
      <c r="F201" s="24"/>
      <c r="G201" s="7"/>
      <c r="H201" s="25"/>
      <c r="I201" s="4"/>
    </row>
    <row r="202" spans="1:9" ht="15.75" hidden="1" outlineLevel="1" x14ac:dyDescent="0.25">
      <c r="A202" s="13">
        <v>45230.999803240738</v>
      </c>
      <c r="B202" s="14">
        <v>38616</v>
      </c>
      <c r="C202" s="15">
        <v>2.5000000000000001E-3</v>
      </c>
      <c r="D202" s="12"/>
      <c r="E202" s="4"/>
      <c r="F202" s="24"/>
      <c r="G202" s="7"/>
      <c r="H202" s="25"/>
      <c r="I202" s="4"/>
    </row>
    <row r="203" spans="1:9" ht="15.75" hidden="1" outlineLevel="1" x14ac:dyDescent="0.25">
      <c r="A203" s="13">
        <v>45260.999803240738</v>
      </c>
      <c r="B203" s="14">
        <v>31226</v>
      </c>
      <c r="C203" s="15">
        <v>2E-3</v>
      </c>
      <c r="D203" s="12"/>
      <c r="E203" s="4"/>
      <c r="F203" s="24"/>
      <c r="G203" s="7"/>
      <c r="H203" s="25"/>
      <c r="I203" s="4"/>
    </row>
    <row r="204" spans="1:9" ht="15.75" hidden="1" outlineLevel="1" x14ac:dyDescent="0.25">
      <c r="A204" s="13">
        <v>45291.999803240738</v>
      </c>
      <c r="B204" s="14">
        <v>36540</v>
      </c>
      <c r="C204" s="15">
        <v>2.2000000000000001E-3</v>
      </c>
      <c r="D204" s="12"/>
      <c r="E204" s="4"/>
      <c r="F204" s="24"/>
      <c r="G204" s="7"/>
      <c r="H204" s="25"/>
      <c r="I204" s="4"/>
    </row>
    <row r="205" spans="1:9" ht="15.75" hidden="1" outlineLevel="1" x14ac:dyDescent="0.25">
      <c r="A205" s="13">
        <v>45322.999803240738</v>
      </c>
      <c r="B205" s="14">
        <v>41736</v>
      </c>
      <c r="C205" s="15">
        <v>2.8999999999999998E-3</v>
      </c>
      <c r="D205" s="12"/>
      <c r="E205" s="4"/>
      <c r="F205" s="24"/>
      <c r="G205" s="7"/>
      <c r="H205" s="25"/>
      <c r="I205" s="4"/>
    </row>
    <row r="206" spans="1:9" ht="15.75" hidden="1" outlineLevel="1" x14ac:dyDescent="0.25">
      <c r="A206" s="13">
        <v>45351.999803240738</v>
      </c>
      <c r="B206" s="14">
        <v>54866</v>
      </c>
      <c r="C206" s="15">
        <v>3.5999999999999999E-3</v>
      </c>
      <c r="D206" s="12"/>
      <c r="E206" s="4"/>
      <c r="F206" s="24"/>
      <c r="G206" s="7"/>
      <c r="H206" s="25"/>
      <c r="I206" s="4"/>
    </row>
    <row r="207" spans="1:9" ht="15.75" hidden="1" outlineLevel="1" x14ac:dyDescent="0.25">
      <c r="A207" s="13">
        <v>45382.999803240738</v>
      </c>
      <c r="B207" s="14">
        <v>53729</v>
      </c>
      <c r="C207" s="15">
        <v>3.8E-3</v>
      </c>
      <c r="D207" s="12"/>
      <c r="E207" s="4"/>
      <c r="F207" s="24"/>
      <c r="G207" s="7"/>
      <c r="H207" s="25"/>
      <c r="I207" s="4"/>
    </row>
    <row r="208" spans="1:9" ht="15.75" hidden="1" outlineLevel="1" x14ac:dyDescent="0.25">
      <c r="A208" s="13">
        <v>45412.999803240738</v>
      </c>
      <c r="B208" s="14">
        <v>57578</v>
      </c>
      <c r="C208" s="15">
        <v>4.1000000000000003E-3</v>
      </c>
      <c r="D208" s="12"/>
      <c r="E208" s="4"/>
      <c r="F208" s="24"/>
      <c r="G208" s="7"/>
      <c r="H208" s="25"/>
      <c r="I208" s="4"/>
    </row>
    <row r="209" spans="1:9" ht="15.75" hidden="1" outlineLevel="1" x14ac:dyDescent="0.25">
      <c r="A209" s="13">
        <v>45443.999803240738</v>
      </c>
      <c r="B209" s="14">
        <v>48418</v>
      </c>
      <c r="C209" s="15">
        <v>4.1000000000000003E-3</v>
      </c>
      <c r="D209" s="12"/>
      <c r="E209" s="4"/>
      <c r="F209" s="24"/>
      <c r="G209" s="7"/>
      <c r="H209" s="25"/>
      <c r="I209" s="4"/>
    </row>
    <row r="210" spans="1:9" ht="15.75" hidden="1" outlineLevel="1" x14ac:dyDescent="0.25">
      <c r="A210" s="13">
        <v>45473.999803240738</v>
      </c>
      <c r="B210" s="14">
        <v>46116</v>
      </c>
      <c r="C210" s="15">
        <v>4.1000000000000003E-3</v>
      </c>
      <c r="D210" s="12"/>
      <c r="E210" s="4"/>
      <c r="F210" s="24"/>
      <c r="G210" s="7"/>
      <c r="H210" s="25"/>
      <c r="I210" s="4"/>
    </row>
    <row r="211" spans="1:9" ht="15.75" hidden="1" outlineLevel="1" x14ac:dyDescent="0.25">
      <c r="A211" s="13">
        <v>45504.999803240738</v>
      </c>
      <c r="B211" s="14">
        <v>37722</v>
      </c>
      <c r="C211" s="15">
        <v>3.3E-3</v>
      </c>
      <c r="D211" s="12"/>
      <c r="E211" s="4"/>
      <c r="F211" s="24"/>
      <c r="G211" s="7"/>
      <c r="H211" s="25"/>
      <c r="I211" s="4"/>
    </row>
    <row r="212" spans="1:9" ht="15.75" hidden="1" outlineLevel="1" x14ac:dyDescent="0.25">
      <c r="A212" s="13">
        <v>45535.999803240738</v>
      </c>
      <c r="B212" s="14">
        <v>34224</v>
      </c>
      <c r="C212" s="15">
        <v>2.7000000000000001E-3</v>
      </c>
      <c r="D212" s="12"/>
      <c r="E212" s="4"/>
      <c r="F212" s="24"/>
      <c r="G212" s="7"/>
      <c r="H212" s="25"/>
      <c r="I212" s="4"/>
    </row>
    <row r="213" spans="1:9" ht="15.75" hidden="1" outlineLevel="1" x14ac:dyDescent="0.25">
      <c r="A213" s="13">
        <v>45565.999803240738</v>
      </c>
      <c r="B213" s="14">
        <v>34997</v>
      </c>
      <c r="C213" s="15">
        <v>2.3999999999999998E-3</v>
      </c>
      <c r="D213" s="12"/>
      <c r="E213" s="4"/>
      <c r="F213" s="24"/>
      <c r="G213" s="7"/>
      <c r="H213" s="25"/>
      <c r="I213" s="4"/>
    </row>
    <row r="214" spans="1:9" ht="15.75" hidden="1" outlineLevel="1" x14ac:dyDescent="0.25">
      <c r="A214" s="13">
        <v>45596.999803240738</v>
      </c>
      <c r="B214" s="14">
        <v>41904</v>
      </c>
      <c r="C214" s="15">
        <v>2.7000000000000001E-3</v>
      </c>
      <c r="D214" s="12"/>
      <c r="E214" s="4"/>
      <c r="F214" s="24"/>
      <c r="G214" s="7"/>
      <c r="H214" s="25"/>
      <c r="I214" s="4"/>
    </row>
    <row r="215" spans="1:9" ht="15.75" hidden="1" outlineLevel="1" x14ac:dyDescent="0.25">
      <c r="A215" s="13">
        <v>45626.999803240738</v>
      </c>
      <c r="B215" s="14">
        <v>45666</v>
      </c>
      <c r="C215" s="15">
        <v>2.8999999999999998E-3</v>
      </c>
      <c r="D215" s="12"/>
      <c r="E215" s="4"/>
      <c r="F215" s="24"/>
      <c r="G215" s="7"/>
      <c r="H215" s="25"/>
      <c r="I215" s="4"/>
    </row>
    <row r="216" spans="1:9" ht="15.75" hidden="1" outlineLevel="1" x14ac:dyDescent="0.25">
      <c r="A216" s="13">
        <v>45657.999803240738</v>
      </c>
      <c r="B216" s="14">
        <v>41155</v>
      </c>
      <c r="C216" s="15">
        <v>2.8E-3</v>
      </c>
      <c r="D216" s="12"/>
      <c r="E216" s="4"/>
      <c r="F216" s="24"/>
      <c r="G216" s="7"/>
      <c r="H216" s="25"/>
      <c r="I216" s="4"/>
    </row>
    <row r="217" spans="1:9" ht="15.75" hidden="1" outlineLevel="1" x14ac:dyDescent="0.25">
      <c r="A217" s="13">
        <v>45688.999803240738</v>
      </c>
      <c r="B217" s="14">
        <v>41918</v>
      </c>
      <c r="C217" s="15">
        <v>2.8999999999999998E-3</v>
      </c>
      <c r="D217" s="12"/>
      <c r="E217" s="4"/>
      <c r="F217" s="24"/>
      <c r="G217" s="7"/>
      <c r="H217" s="25"/>
      <c r="I217" s="4"/>
    </row>
    <row r="218" spans="1:9" ht="15.75" hidden="1" outlineLevel="1" x14ac:dyDescent="0.25">
      <c r="A218" s="13">
        <v>45716.999803240738</v>
      </c>
      <c r="B218" s="14">
        <v>54286</v>
      </c>
      <c r="C218" s="15">
        <v>3.5000000000000001E-3</v>
      </c>
      <c r="D218" s="12"/>
      <c r="E218" s="4"/>
      <c r="F218" s="24"/>
      <c r="G218" s="7"/>
      <c r="H218" s="25"/>
      <c r="I218" s="4"/>
    </row>
    <row r="219" spans="1:9" ht="15.75" hidden="1" outlineLevel="1" x14ac:dyDescent="0.25">
      <c r="A219" s="13">
        <v>45747.999803240738</v>
      </c>
      <c r="B219" s="14">
        <v>61137</v>
      </c>
      <c r="C219" s="15">
        <v>4.1999999999999997E-3</v>
      </c>
      <c r="D219" s="12"/>
      <c r="E219" s="4"/>
      <c r="F219" s="24"/>
      <c r="G219" s="7"/>
      <c r="H219" s="25"/>
      <c r="I219" s="4"/>
    </row>
    <row r="220" spans="1:9" ht="15.75" hidden="1" outlineLevel="1" x14ac:dyDescent="0.25">
      <c r="A220" s="13">
        <v>45777.999803240738</v>
      </c>
      <c r="B220" s="14">
        <v>56557</v>
      </c>
      <c r="C220" s="15">
        <v>4.4000000000000003E-3</v>
      </c>
      <c r="D220" s="12"/>
      <c r="E220" s="4"/>
      <c r="F220" s="24"/>
      <c r="G220" s="7"/>
      <c r="H220" s="25"/>
      <c r="I220" s="4"/>
    </row>
    <row r="221" spans="1:9" ht="15.75" hidden="1" outlineLevel="1" x14ac:dyDescent="0.25">
      <c r="A221" s="13">
        <v>45808.999803240738</v>
      </c>
      <c r="B221" s="14">
        <v>50911</v>
      </c>
      <c r="C221" s="15">
        <v>4.0000000000000001E-3</v>
      </c>
      <c r="D221" s="12"/>
      <c r="E221" s="4"/>
      <c r="F221" s="24"/>
      <c r="G221" s="7"/>
      <c r="H221" s="25"/>
      <c r="I221" s="4"/>
    </row>
    <row r="222" spans="1:9" ht="15.75" hidden="1" outlineLevel="1" x14ac:dyDescent="0.25">
      <c r="A222" s="13">
        <v>45838.999803240738</v>
      </c>
      <c r="B222" s="14">
        <v>52383</v>
      </c>
      <c r="C222" s="15">
        <v>4.0000000000000001E-3</v>
      </c>
      <c r="D222" s="12"/>
      <c r="E222" s="4"/>
      <c r="F222" s="24"/>
      <c r="G222" s="7"/>
      <c r="H222" s="25"/>
      <c r="I222" s="4"/>
    </row>
    <row r="223" spans="1:9" ht="15.75" hidden="1" outlineLevel="1" x14ac:dyDescent="0.25">
      <c r="A223" s="13">
        <v>45869.999803240738</v>
      </c>
      <c r="B223" s="14">
        <v>39336</v>
      </c>
      <c r="C223" s="15">
        <v>3.0999999999999999E-3</v>
      </c>
      <c r="D223" s="12"/>
      <c r="E223" s="4"/>
      <c r="F223" s="24"/>
      <c r="G223" s="7"/>
      <c r="H223" s="25"/>
      <c r="I223" s="4"/>
    </row>
    <row r="224" spans="1:9" ht="15.75" hidden="1" outlineLevel="1" x14ac:dyDescent="0.25">
      <c r="A224" s="13">
        <v>45900.999803240738</v>
      </c>
      <c r="B224" s="14">
        <v>31748</v>
      </c>
      <c r="C224" s="15">
        <v>2.3999999999999998E-3</v>
      </c>
      <c r="D224" s="12"/>
      <c r="E224" s="4"/>
      <c r="F224" s="24"/>
      <c r="G224" s="7"/>
      <c r="H224" s="25"/>
      <c r="I224" s="4"/>
    </row>
    <row r="225" spans="1:9" collapsed="1" x14ac:dyDescent="0.25">
      <c r="A225" s="10" t="s">
        <v>3</v>
      </c>
      <c r="B225" s="11">
        <f>AVERAGE(B201:B224)</f>
        <v>44797.875</v>
      </c>
      <c r="C225" s="11"/>
      <c r="D225" s="338">
        <v>13000000</v>
      </c>
      <c r="E225" s="339"/>
      <c r="F225" s="340">
        <f>B226/D225</f>
        <v>4.1351884615384617E-2</v>
      </c>
      <c r="G225" s="342"/>
      <c r="H225" s="341">
        <f>$H$29*(F225/$F$29)</f>
        <v>4.1351884615384617E-2</v>
      </c>
      <c r="I225" s="339">
        <f>D225*H225</f>
        <v>537574.5</v>
      </c>
    </row>
    <row r="226" spans="1:9" x14ac:dyDescent="0.25">
      <c r="A226" s="9" t="s">
        <v>4</v>
      </c>
      <c r="B226" s="3">
        <f>B225*12</f>
        <v>537574.5</v>
      </c>
      <c r="C226" s="3"/>
      <c r="D226" s="338"/>
      <c r="E226" s="339"/>
      <c r="F226" s="340"/>
      <c r="G226" s="342"/>
      <c r="H226" s="341"/>
      <c r="I226" s="339"/>
    </row>
    <row r="227" spans="1:9" x14ac:dyDescent="0.25">
      <c r="A227" s="8" t="s">
        <v>31</v>
      </c>
      <c r="B227" s="8"/>
      <c r="C227" s="22" t="s">
        <v>33</v>
      </c>
      <c r="D227" s="12"/>
      <c r="E227" s="4"/>
      <c r="F227" s="24"/>
      <c r="G227" s="7"/>
      <c r="H227" s="25"/>
      <c r="I227" s="4"/>
    </row>
    <row r="228" spans="1:9" ht="28.5" hidden="1" outlineLevel="1" x14ac:dyDescent="0.25">
      <c r="A228" s="2" t="s">
        <v>1</v>
      </c>
      <c r="B228" s="2" t="s">
        <v>2</v>
      </c>
      <c r="C228" s="2"/>
      <c r="D228" s="12"/>
      <c r="E228" s="4"/>
      <c r="F228" s="24"/>
      <c r="G228" s="7"/>
      <c r="H228" s="25"/>
      <c r="I228" s="4"/>
    </row>
    <row r="229" spans="1:9" ht="15.75" hidden="1" outlineLevel="1" x14ac:dyDescent="0.25">
      <c r="A229" s="13">
        <v>45170</v>
      </c>
      <c r="B229" s="14">
        <v>24919</v>
      </c>
      <c r="C229" s="15">
        <v>3.0000000000000001E-3</v>
      </c>
      <c r="D229" s="12"/>
      <c r="E229" s="4"/>
      <c r="F229" s="24"/>
      <c r="G229" s="7"/>
      <c r="H229" s="25"/>
      <c r="I229" s="4"/>
    </row>
    <row r="230" spans="1:9" ht="15.75" hidden="1" outlineLevel="1" x14ac:dyDescent="0.25">
      <c r="A230" s="13">
        <v>45200</v>
      </c>
      <c r="B230" s="14">
        <v>21582</v>
      </c>
      <c r="C230" s="15">
        <v>3.0000000000000001E-3</v>
      </c>
      <c r="D230" s="12"/>
      <c r="E230" s="4"/>
      <c r="F230" s="24"/>
      <c r="G230" s="7"/>
      <c r="H230" s="25"/>
      <c r="I230" s="4"/>
    </row>
    <row r="231" spans="1:9" ht="15.75" hidden="1" outlineLevel="1" x14ac:dyDescent="0.25">
      <c r="A231" s="13">
        <v>45231</v>
      </c>
      <c r="B231" s="14">
        <v>17052</v>
      </c>
      <c r="C231" s="15">
        <v>2E-3</v>
      </c>
      <c r="D231" s="12"/>
      <c r="E231" s="4"/>
      <c r="F231" s="24"/>
      <c r="G231" s="7"/>
      <c r="H231" s="25"/>
      <c r="I231" s="4"/>
    </row>
    <row r="232" spans="1:9" ht="15.75" hidden="1" outlineLevel="1" x14ac:dyDescent="0.25">
      <c r="A232" s="13">
        <v>45261</v>
      </c>
      <c r="B232" s="14">
        <v>16756</v>
      </c>
      <c r="C232" s="15">
        <v>2E-3</v>
      </c>
      <c r="D232" s="12"/>
      <c r="E232" s="4"/>
      <c r="F232" s="24"/>
      <c r="G232" s="7"/>
      <c r="H232" s="25"/>
      <c r="I232" s="4"/>
    </row>
    <row r="233" spans="1:9" ht="15.75" hidden="1" outlineLevel="1" x14ac:dyDescent="0.25">
      <c r="A233" s="13">
        <v>45292</v>
      </c>
      <c r="B233" s="14">
        <v>23085</v>
      </c>
      <c r="C233" s="15">
        <v>3.0000000000000001E-3</v>
      </c>
      <c r="D233" s="12"/>
      <c r="E233" s="4"/>
      <c r="F233" s="24"/>
      <c r="G233" s="7"/>
      <c r="H233" s="25"/>
      <c r="I233" s="4"/>
    </row>
    <row r="234" spans="1:9" ht="15.75" hidden="1" outlineLevel="1" x14ac:dyDescent="0.25">
      <c r="A234" s="13">
        <v>45323</v>
      </c>
      <c r="B234" s="14">
        <v>28452</v>
      </c>
      <c r="C234" s="15">
        <v>4.0000000000000001E-3</v>
      </c>
      <c r="D234" s="12"/>
      <c r="E234" s="4"/>
      <c r="F234" s="24"/>
      <c r="G234" s="7"/>
      <c r="H234" s="25"/>
      <c r="I234" s="4"/>
    </row>
    <row r="235" spans="1:9" ht="15.75" hidden="1" outlineLevel="1" x14ac:dyDescent="0.25">
      <c r="A235" s="13">
        <v>45352</v>
      </c>
      <c r="B235" s="14">
        <v>32637</v>
      </c>
      <c r="C235" s="15">
        <v>5.0000000000000001E-3</v>
      </c>
      <c r="D235" s="12"/>
      <c r="E235" s="4"/>
      <c r="F235" s="24"/>
      <c r="G235" s="7"/>
      <c r="H235" s="25"/>
      <c r="I235" s="4"/>
    </row>
    <row r="236" spans="1:9" ht="15.75" hidden="1" outlineLevel="1" x14ac:dyDescent="0.25">
      <c r="A236" s="13">
        <v>45383</v>
      </c>
      <c r="B236" s="14">
        <v>40084</v>
      </c>
      <c r="C236" s="15">
        <v>6.0000000000000001E-3</v>
      </c>
      <c r="D236" s="12"/>
      <c r="E236" s="4"/>
      <c r="F236" s="24"/>
      <c r="G236" s="7"/>
      <c r="H236" s="25"/>
      <c r="I236" s="4"/>
    </row>
    <row r="237" spans="1:9" ht="15.75" hidden="1" outlineLevel="1" x14ac:dyDescent="0.25">
      <c r="A237" s="13">
        <v>45413</v>
      </c>
      <c r="B237" s="14">
        <v>29817</v>
      </c>
      <c r="C237" s="15">
        <v>5.0000000000000001E-3</v>
      </c>
      <c r="D237" s="12"/>
      <c r="E237" s="4"/>
      <c r="F237" s="24"/>
      <c r="G237" s="7"/>
      <c r="H237" s="25"/>
      <c r="I237" s="4"/>
    </row>
    <row r="238" spans="1:9" ht="15.75" hidden="1" outlineLevel="1" x14ac:dyDescent="0.25">
      <c r="A238" s="13">
        <v>45444</v>
      </c>
      <c r="B238" s="14">
        <v>25231</v>
      </c>
      <c r="C238" s="15">
        <v>4.0000000000000001E-3</v>
      </c>
      <c r="D238" s="12"/>
      <c r="E238" s="4"/>
      <c r="F238" s="24"/>
      <c r="G238" s="7"/>
      <c r="H238" s="25"/>
      <c r="I238" s="4"/>
    </row>
    <row r="239" spans="1:9" ht="15.75" hidden="1" outlineLevel="1" x14ac:dyDescent="0.25">
      <c r="A239" s="13">
        <v>45474</v>
      </c>
      <c r="B239" s="14">
        <v>21894</v>
      </c>
      <c r="C239" s="15">
        <v>4.0000000000000001E-3</v>
      </c>
      <c r="D239" s="12"/>
      <c r="E239" s="4"/>
      <c r="F239" s="24"/>
      <c r="G239" s="7"/>
      <c r="H239" s="25"/>
      <c r="I239" s="4"/>
    </row>
    <row r="240" spans="1:9" ht="15.75" hidden="1" outlineLevel="1" x14ac:dyDescent="0.25">
      <c r="A240" s="13">
        <v>45505</v>
      </c>
      <c r="B240" s="14">
        <v>20109</v>
      </c>
      <c r="C240" s="15">
        <v>3.0000000000000001E-3</v>
      </c>
      <c r="D240" s="12"/>
      <c r="E240" s="4"/>
      <c r="F240" s="24"/>
      <c r="G240" s="7"/>
      <c r="H240" s="25"/>
      <c r="I240" s="4"/>
    </row>
    <row r="241" spans="1:9" ht="15.75" hidden="1" outlineLevel="1" x14ac:dyDescent="0.25">
      <c r="A241" s="13">
        <v>45536</v>
      </c>
      <c r="B241" s="14">
        <v>20838</v>
      </c>
      <c r="C241" s="15">
        <v>3.0000000000000001E-3</v>
      </c>
      <c r="D241" s="12"/>
      <c r="E241" s="4"/>
      <c r="F241" s="24"/>
      <c r="G241" s="7"/>
      <c r="H241" s="25"/>
      <c r="I241" s="4"/>
    </row>
    <row r="242" spans="1:9" ht="15.75" hidden="1" outlineLevel="1" x14ac:dyDescent="0.25">
      <c r="A242" s="13">
        <v>45566</v>
      </c>
      <c r="B242" s="14">
        <v>21358</v>
      </c>
      <c r="C242" s="15">
        <v>3.0000000000000001E-3</v>
      </c>
      <c r="D242" s="12"/>
      <c r="E242" s="4"/>
      <c r="F242" s="24"/>
      <c r="G242" s="7"/>
      <c r="H242" s="25"/>
      <c r="I242" s="4"/>
    </row>
    <row r="243" spans="1:9" ht="15.75" hidden="1" outlineLevel="1" x14ac:dyDescent="0.25">
      <c r="A243" s="13">
        <v>45597</v>
      </c>
      <c r="B243" s="14">
        <v>21060</v>
      </c>
      <c r="C243" s="15">
        <v>3.0000000000000001E-3</v>
      </c>
      <c r="D243" s="12"/>
      <c r="E243" s="4"/>
      <c r="F243" s="24"/>
      <c r="G243" s="7"/>
      <c r="H243" s="25"/>
      <c r="I243" s="4"/>
    </row>
    <row r="244" spans="1:9" ht="15.75" hidden="1" outlineLevel="1" x14ac:dyDescent="0.25">
      <c r="A244" s="13">
        <v>45627</v>
      </c>
      <c r="B244" s="14">
        <v>22578</v>
      </c>
      <c r="C244" s="15">
        <v>3.0000000000000001E-3</v>
      </c>
      <c r="D244" s="12"/>
      <c r="E244" s="4"/>
      <c r="F244" s="24"/>
      <c r="G244" s="7"/>
      <c r="H244" s="25"/>
      <c r="I244" s="4"/>
    </row>
    <row r="245" spans="1:9" ht="15.75" hidden="1" outlineLevel="1" x14ac:dyDescent="0.25">
      <c r="A245" s="13">
        <v>45658</v>
      </c>
      <c r="B245" s="14">
        <v>21557</v>
      </c>
      <c r="C245" s="15">
        <v>3.0000000000000001E-3</v>
      </c>
      <c r="D245" s="12"/>
      <c r="E245" s="4"/>
      <c r="F245" s="24"/>
      <c r="G245" s="7"/>
      <c r="H245" s="25"/>
      <c r="I245" s="4"/>
    </row>
    <row r="246" spans="1:9" ht="15.75" hidden="1" outlineLevel="1" x14ac:dyDescent="0.25">
      <c r="A246" s="13">
        <v>45689</v>
      </c>
      <c r="B246" s="14">
        <v>31520</v>
      </c>
      <c r="C246" s="15">
        <v>4.0000000000000001E-3</v>
      </c>
      <c r="D246" s="12"/>
      <c r="E246" s="4"/>
      <c r="F246" s="24"/>
      <c r="G246" s="7"/>
      <c r="H246" s="25"/>
      <c r="I246" s="4"/>
    </row>
    <row r="247" spans="1:9" ht="15.75" hidden="1" outlineLevel="1" x14ac:dyDescent="0.25">
      <c r="A247" s="13">
        <v>45717</v>
      </c>
      <c r="B247" s="14">
        <v>33716</v>
      </c>
      <c r="C247" s="15">
        <v>5.0000000000000001E-3</v>
      </c>
      <c r="D247" s="12"/>
      <c r="E247" s="4"/>
      <c r="F247" s="24"/>
      <c r="G247" s="7"/>
      <c r="H247" s="25"/>
      <c r="I247" s="4"/>
    </row>
    <row r="248" spans="1:9" ht="15.75" hidden="1" outlineLevel="1" x14ac:dyDescent="0.25">
      <c r="A248" s="13">
        <v>45748</v>
      </c>
      <c r="B248" s="14">
        <v>31726</v>
      </c>
      <c r="C248" s="15">
        <v>4.0000000000000001E-3</v>
      </c>
      <c r="D248" s="12"/>
      <c r="E248" s="4"/>
      <c r="F248" s="24"/>
      <c r="G248" s="7"/>
      <c r="H248" s="25"/>
      <c r="I248" s="4"/>
    </row>
    <row r="249" spans="1:9" ht="15.75" hidden="1" outlineLevel="1" x14ac:dyDescent="0.25">
      <c r="A249" s="13">
        <v>45778</v>
      </c>
      <c r="B249" s="14">
        <v>31379</v>
      </c>
      <c r="C249" s="15">
        <v>5.0000000000000001E-3</v>
      </c>
      <c r="D249" s="12"/>
      <c r="E249" s="4"/>
      <c r="F249" s="24"/>
      <c r="G249" s="7"/>
      <c r="H249" s="25"/>
      <c r="I249" s="4"/>
    </row>
    <row r="250" spans="1:9" ht="15.75" hidden="1" outlineLevel="1" x14ac:dyDescent="0.25">
      <c r="A250" s="13">
        <v>45809</v>
      </c>
      <c r="B250" s="14">
        <v>31257</v>
      </c>
      <c r="C250" s="15">
        <v>4.0000000000000001E-3</v>
      </c>
      <c r="D250" s="12"/>
      <c r="E250" s="4"/>
      <c r="F250" s="24"/>
      <c r="G250" s="7"/>
      <c r="H250" s="25"/>
      <c r="I250" s="4"/>
    </row>
    <row r="251" spans="1:9" ht="15.75" hidden="1" outlineLevel="1" x14ac:dyDescent="0.25">
      <c r="A251" s="13">
        <v>45839</v>
      </c>
      <c r="B251" s="14">
        <v>25929</v>
      </c>
      <c r="C251" s="15">
        <v>4.0000000000000001E-3</v>
      </c>
      <c r="D251" s="12"/>
      <c r="E251" s="4"/>
      <c r="F251" s="24"/>
      <c r="G251" s="7"/>
      <c r="H251" s="25"/>
      <c r="I251" s="4"/>
    </row>
    <row r="252" spans="1:9" ht="15.75" hidden="1" outlineLevel="1" x14ac:dyDescent="0.25">
      <c r="A252" s="13">
        <v>45870</v>
      </c>
      <c r="B252" s="14">
        <v>20280</v>
      </c>
      <c r="C252" s="15">
        <v>3.0000000000000001E-3</v>
      </c>
      <c r="D252" s="12"/>
      <c r="E252" s="4"/>
      <c r="F252" s="24"/>
      <c r="G252" s="7"/>
      <c r="H252" s="25"/>
      <c r="I252" s="4"/>
    </row>
    <row r="253" spans="1:9" collapsed="1" x14ac:dyDescent="0.25">
      <c r="A253" s="10" t="s">
        <v>3</v>
      </c>
      <c r="B253" s="11">
        <f>AVERAGE(B229:B252)</f>
        <v>25617.333333333332</v>
      </c>
      <c r="C253" s="11"/>
      <c r="D253" s="338">
        <v>5590000</v>
      </c>
      <c r="E253" s="339"/>
      <c r="F253" s="340">
        <f>B254/D253</f>
        <v>5.4992486583184258E-2</v>
      </c>
      <c r="G253" s="342"/>
      <c r="H253" s="341">
        <f>$H$29*(F253/$F$29)</f>
        <v>5.4992486583184258E-2</v>
      </c>
      <c r="I253" s="339">
        <f>D253*H253</f>
        <v>307408</v>
      </c>
    </row>
    <row r="254" spans="1:9" x14ac:dyDescent="0.25">
      <c r="A254" s="9" t="s">
        <v>4</v>
      </c>
      <c r="B254" s="3">
        <f>B253*12</f>
        <v>307408</v>
      </c>
      <c r="C254" s="3"/>
      <c r="D254" s="338"/>
      <c r="E254" s="339"/>
      <c r="F254" s="340"/>
      <c r="G254" s="342"/>
      <c r="H254" s="341"/>
      <c r="I254" s="339"/>
    </row>
    <row r="255" spans="1:9" x14ac:dyDescent="0.25">
      <c r="A255" s="8" t="s">
        <v>42</v>
      </c>
      <c r="B255" s="8"/>
      <c r="C255" s="22" t="s">
        <v>33</v>
      </c>
      <c r="D255" s="12"/>
      <c r="E255" s="4"/>
      <c r="F255" s="24"/>
      <c r="G255" s="7"/>
      <c r="H255" s="25"/>
      <c r="I255" s="4"/>
    </row>
    <row r="256" spans="1:9" ht="28.5" hidden="1" outlineLevel="2" x14ac:dyDescent="0.25">
      <c r="A256" s="2" t="s">
        <v>1</v>
      </c>
      <c r="B256" s="2" t="s">
        <v>2</v>
      </c>
      <c r="C256" s="2"/>
      <c r="D256" s="12"/>
      <c r="E256" s="4"/>
      <c r="F256" s="24"/>
      <c r="G256" s="7"/>
      <c r="H256" s="25"/>
      <c r="I256" s="4"/>
    </row>
    <row r="257" spans="1:9" hidden="1" outlineLevel="2" x14ac:dyDescent="0.25">
      <c r="A257" s="16">
        <v>45291.999803240738</v>
      </c>
      <c r="B257" s="1">
        <v>2741</v>
      </c>
      <c r="C257" s="17">
        <v>1.2999999999999999E-3</v>
      </c>
      <c r="D257" s="12"/>
      <c r="E257" s="4"/>
      <c r="F257" s="24"/>
      <c r="G257" s="7"/>
      <c r="H257" s="25"/>
      <c r="I257" s="4"/>
    </row>
    <row r="258" spans="1:9" hidden="1" outlineLevel="2" x14ac:dyDescent="0.25">
      <c r="A258" s="16">
        <v>45322.999803240738</v>
      </c>
      <c r="B258" s="1">
        <v>2945</v>
      </c>
      <c r="C258" s="17">
        <v>1.5E-3</v>
      </c>
      <c r="D258" s="12"/>
      <c r="E258" s="4"/>
      <c r="F258" s="24"/>
      <c r="G258" s="7"/>
      <c r="H258" s="25"/>
      <c r="I258" s="4"/>
    </row>
    <row r="259" spans="1:9" hidden="1" outlineLevel="2" x14ac:dyDescent="0.25">
      <c r="A259" s="16">
        <v>45351.999803240738</v>
      </c>
      <c r="B259" s="1">
        <v>3887</v>
      </c>
      <c r="C259" s="17">
        <v>2.0999999999999999E-3</v>
      </c>
      <c r="D259" s="12"/>
      <c r="E259" s="4"/>
      <c r="F259" s="24"/>
      <c r="G259" s="7"/>
      <c r="H259" s="25"/>
      <c r="I259" s="4"/>
    </row>
    <row r="260" spans="1:9" hidden="1" outlineLevel="2" x14ac:dyDescent="0.25">
      <c r="A260" s="16">
        <v>45382.999803240738</v>
      </c>
      <c r="B260" s="1">
        <v>4716</v>
      </c>
      <c r="C260" s="17">
        <v>2.7000000000000001E-3</v>
      </c>
      <c r="D260" s="12"/>
      <c r="E260" s="4"/>
      <c r="F260" s="24"/>
      <c r="G260" s="7"/>
      <c r="H260" s="25"/>
      <c r="I260" s="4"/>
    </row>
    <row r="261" spans="1:9" hidden="1" outlineLevel="2" x14ac:dyDescent="0.25">
      <c r="A261" s="16">
        <v>45412.999803240738</v>
      </c>
      <c r="B261" s="1">
        <v>4412</v>
      </c>
      <c r="C261" s="17">
        <v>2.5999999999999999E-3</v>
      </c>
      <c r="D261" s="12"/>
      <c r="E261" s="4"/>
      <c r="F261" s="24"/>
      <c r="G261" s="7"/>
      <c r="H261" s="25"/>
      <c r="I261" s="4"/>
    </row>
    <row r="262" spans="1:9" hidden="1" outlineLevel="2" x14ac:dyDescent="0.25">
      <c r="A262" s="16">
        <v>45443.999803240738</v>
      </c>
      <c r="B262" s="1">
        <v>4341</v>
      </c>
      <c r="C262" s="17">
        <v>2.8999999999999998E-3</v>
      </c>
      <c r="D262" s="12"/>
      <c r="E262" s="4"/>
      <c r="F262" s="24"/>
      <c r="G262" s="7"/>
      <c r="H262" s="25"/>
      <c r="I262" s="4"/>
    </row>
    <row r="263" spans="1:9" hidden="1" outlineLevel="2" x14ac:dyDescent="0.25">
      <c r="A263" s="16">
        <v>45473.999803240738</v>
      </c>
      <c r="B263" s="1">
        <v>3491</v>
      </c>
      <c r="C263" s="17">
        <v>2.3E-3</v>
      </c>
      <c r="D263" s="12"/>
      <c r="E263" s="4"/>
      <c r="F263" s="24"/>
      <c r="G263" s="7"/>
      <c r="H263" s="25"/>
      <c r="I263" s="4"/>
    </row>
    <row r="264" spans="1:9" hidden="1" outlineLevel="2" x14ac:dyDescent="0.25">
      <c r="A264" s="16">
        <v>45504.999803240738</v>
      </c>
      <c r="B264" s="1">
        <v>2837</v>
      </c>
      <c r="C264" s="17">
        <v>1.9E-3</v>
      </c>
      <c r="D264" s="12"/>
      <c r="E264" s="4"/>
      <c r="F264" s="24"/>
      <c r="G264" s="7"/>
      <c r="H264" s="25"/>
      <c r="I264" s="4"/>
    </row>
    <row r="265" spans="1:9" hidden="1" outlineLevel="2" x14ac:dyDescent="0.25">
      <c r="A265" s="16">
        <v>45535.999803240738</v>
      </c>
      <c r="B265" s="1">
        <v>2463</v>
      </c>
      <c r="C265" s="17">
        <v>1.5E-3</v>
      </c>
      <c r="D265" s="12"/>
      <c r="E265" s="4"/>
      <c r="F265" s="24"/>
      <c r="G265" s="7"/>
      <c r="H265" s="25"/>
      <c r="I265" s="4"/>
    </row>
    <row r="266" spans="1:9" hidden="1" outlineLevel="2" x14ac:dyDescent="0.25">
      <c r="A266" s="16">
        <v>45565.999803240738</v>
      </c>
      <c r="B266" s="1">
        <v>3213</v>
      </c>
      <c r="C266" s="17">
        <v>1.6000000000000001E-3</v>
      </c>
      <c r="D266" s="12"/>
      <c r="E266" s="4"/>
      <c r="F266" s="24"/>
      <c r="G266" s="7"/>
      <c r="H266" s="25"/>
      <c r="I266" s="4"/>
    </row>
    <row r="267" spans="1:9" hidden="1" outlineLevel="2" x14ac:dyDescent="0.25">
      <c r="A267" s="16">
        <v>45596.999803240738</v>
      </c>
      <c r="B267" s="1">
        <v>2902</v>
      </c>
      <c r="C267" s="17">
        <v>1.5E-3</v>
      </c>
      <c r="D267" s="12"/>
      <c r="E267" s="4"/>
      <c r="F267" s="24"/>
      <c r="G267" s="7"/>
      <c r="H267" s="25"/>
      <c r="I267" s="4"/>
    </row>
    <row r="268" spans="1:9" hidden="1" outlineLevel="2" x14ac:dyDescent="0.25">
      <c r="A268" s="16">
        <v>45626.999803240738</v>
      </c>
      <c r="B268" s="1">
        <v>2601</v>
      </c>
      <c r="C268" s="17">
        <v>1.2999999999999999E-3</v>
      </c>
      <c r="D268" s="12"/>
      <c r="E268" s="4"/>
      <c r="F268" s="24"/>
      <c r="G268" s="7"/>
      <c r="H268" s="25"/>
      <c r="I268" s="4"/>
    </row>
    <row r="269" spans="1:9" hidden="1" outlineLevel="2" x14ac:dyDescent="0.25">
      <c r="A269" s="16">
        <v>45657.999803240738</v>
      </c>
      <c r="B269" s="1">
        <v>2262</v>
      </c>
      <c r="C269" s="17">
        <v>1.1000000000000001E-3</v>
      </c>
      <c r="D269" s="12"/>
      <c r="E269" s="4"/>
      <c r="F269" s="24"/>
      <c r="G269" s="7"/>
      <c r="H269" s="25"/>
      <c r="I269" s="4"/>
    </row>
    <row r="270" spans="1:9" hidden="1" outlineLevel="2" x14ac:dyDescent="0.25">
      <c r="A270" s="16">
        <v>45688.999803240738</v>
      </c>
      <c r="B270" s="1">
        <v>2807</v>
      </c>
      <c r="C270" s="17">
        <v>1.4E-3</v>
      </c>
      <c r="D270" s="12"/>
      <c r="E270" s="4"/>
      <c r="F270" s="24"/>
      <c r="G270" s="7"/>
      <c r="H270" s="25"/>
      <c r="I270" s="4"/>
    </row>
    <row r="271" spans="1:9" hidden="1" outlineLevel="2" x14ac:dyDescent="0.25">
      <c r="A271" s="16">
        <v>45716.999803240738</v>
      </c>
      <c r="B271" s="1">
        <v>4213</v>
      </c>
      <c r="C271" s="17">
        <v>2E-3</v>
      </c>
      <c r="D271" s="12"/>
      <c r="E271" s="4"/>
      <c r="F271" s="24"/>
      <c r="G271" s="7"/>
      <c r="H271" s="25"/>
      <c r="I271" s="4"/>
    </row>
    <row r="272" spans="1:9" hidden="1" outlineLevel="2" x14ac:dyDescent="0.25">
      <c r="A272" s="16">
        <v>45747.999803240738</v>
      </c>
      <c r="B272" s="1">
        <v>4460</v>
      </c>
      <c r="C272" s="17">
        <v>2.3E-3</v>
      </c>
      <c r="D272" s="12"/>
      <c r="E272" s="4"/>
      <c r="F272" s="24"/>
      <c r="G272" s="7"/>
      <c r="H272" s="25"/>
      <c r="I272" s="4"/>
    </row>
    <row r="273" spans="1:9" hidden="1" outlineLevel="2" x14ac:dyDescent="0.25">
      <c r="A273" s="16">
        <v>45777.999803240738</v>
      </c>
      <c r="B273" s="1">
        <v>3906</v>
      </c>
      <c r="C273" s="17">
        <v>2.2000000000000001E-3</v>
      </c>
      <c r="D273" s="12"/>
      <c r="E273" s="4"/>
      <c r="F273" s="24"/>
      <c r="G273" s="7"/>
      <c r="H273" s="25"/>
      <c r="I273" s="4"/>
    </row>
    <row r="274" spans="1:9" hidden="1" outlineLevel="2" x14ac:dyDescent="0.25">
      <c r="A274" s="16">
        <v>45808.999803240738</v>
      </c>
      <c r="B274" s="1">
        <v>4531</v>
      </c>
      <c r="C274" s="17">
        <v>2.5999999999999999E-3</v>
      </c>
      <c r="D274" s="12"/>
      <c r="E274" s="4"/>
      <c r="F274" s="24"/>
      <c r="G274" s="7"/>
      <c r="H274" s="25"/>
      <c r="I274" s="4"/>
    </row>
    <row r="275" spans="1:9" hidden="1" outlineLevel="2" x14ac:dyDescent="0.25">
      <c r="A275" s="16">
        <v>45838.999803240738</v>
      </c>
      <c r="B275" s="1">
        <v>3601</v>
      </c>
      <c r="C275" s="17">
        <v>2.0999999999999999E-3</v>
      </c>
      <c r="D275" s="12"/>
      <c r="E275" s="4"/>
      <c r="F275" s="24"/>
      <c r="G275" s="7"/>
      <c r="H275" s="25"/>
      <c r="I275" s="4"/>
    </row>
    <row r="276" spans="1:9" hidden="1" outlineLevel="2" x14ac:dyDescent="0.25">
      <c r="A276" s="16">
        <v>45869.999803240738</v>
      </c>
      <c r="B276" s="1">
        <v>3118</v>
      </c>
      <c r="C276" s="17">
        <v>1.9E-3</v>
      </c>
      <c r="D276" s="12"/>
      <c r="E276" s="4"/>
      <c r="F276" s="24"/>
      <c r="G276" s="7"/>
      <c r="H276" s="25"/>
      <c r="I276" s="4"/>
    </row>
    <row r="277" spans="1:9" hidden="1" outlineLevel="2" x14ac:dyDescent="0.25">
      <c r="A277" s="16">
        <v>45900.999803240738</v>
      </c>
      <c r="B277" s="1">
        <v>2569</v>
      </c>
      <c r="C277" s="17">
        <v>1.4E-3</v>
      </c>
      <c r="D277" s="12"/>
      <c r="E277" s="4"/>
      <c r="F277" s="24"/>
      <c r="G277" s="7"/>
      <c r="H277" s="25"/>
      <c r="I277" s="4"/>
    </row>
    <row r="278" spans="1:9" hidden="1" outlineLevel="2" x14ac:dyDescent="0.25">
      <c r="A278" s="16">
        <v>45930.999803240738</v>
      </c>
      <c r="B278" s="1">
        <v>2856</v>
      </c>
      <c r="C278" s="17">
        <v>1.5E-3</v>
      </c>
      <c r="D278" s="12"/>
      <c r="E278" s="4"/>
      <c r="F278" s="24"/>
      <c r="G278" s="7"/>
      <c r="H278" s="25"/>
      <c r="I278" s="4"/>
    </row>
    <row r="279" spans="1:9" hidden="1" outlineLevel="2" x14ac:dyDescent="0.25">
      <c r="A279" s="16">
        <v>45961.999803240738</v>
      </c>
      <c r="B279" s="1">
        <v>2643</v>
      </c>
      <c r="C279" s="17">
        <v>1.4E-3</v>
      </c>
      <c r="D279" s="12"/>
      <c r="E279" s="4"/>
      <c r="F279" s="24"/>
      <c r="G279" s="7"/>
      <c r="H279" s="25"/>
      <c r="I279" s="4"/>
    </row>
    <row r="280" spans="1:9" hidden="1" outlineLevel="2" x14ac:dyDescent="0.25">
      <c r="A280" s="16">
        <v>45991.999803240738</v>
      </c>
      <c r="B280" s="1">
        <v>1872</v>
      </c>
      <c r="C280" s="17">
        <v>1E-3</v>
      </c>
      <c r="D280" s="12"/>
      <c r="E280" s="4"/>
      <c r="F280" s="24"/>
      <c r="G280" s="7"/>
      <c r="H280" s="25"/>
      <c r="I280" s="4"/>
    </row>
    <row r="281" spans="1:9" collapsed="1" x14ac:dyDescent="0.25">
      <c r="A281" s="10" t="s">
        <v>3</v>
      </c>
      <c r="B281" s="11">
        <f>AVERAGE(B257:B280)</f>
        <v>3307.7916666666665</v>
      </c>
      <c r="C281" s="11"/>
      <c r="D281" s="338">
        <v>1630000</v>
      </c>
      <c r="E281" s="339"/>
      <c r="F281" s="340">
        <f>B282/D281</f>
        <v>2.4351840490797545E-2</v>
      </c>
      <c r="G281" s="333"/>
      <c r="H281" s="341">
        <f>$H$29*(F281/$F$29)</f>
        <v>2.4351840490797548E-2</v>
      </c>
      <c r="I281" s="339">
        <f>D281*H281</f>
        <v>39693.5</v>
      </c>
    </row>
    <row r="282" spans="1:9" x14ac:dyDescent="0.25">
      <c r="A282" s="9" t="s">
        <v>4</v>
      </c>
      <c r="B282" s="3">
        <f>B281*12</f>
        <v>39693.5</v>
      </c>
      <c r="C282" s="3"/>
      <c r="D282" s="338"/>
      <c r="E282" s="339"/>
      <c r="F282" s="340"/>
      <c r="G282" s="333"/>
      <c r="H282" s="341"/>
      <c r="I282" s="339"/>
    </row>
    <row r="283" spans="1:9" x14ac:dyDescent="0.25">
      <c r="A283" s="8" t="s">
        <v>43</v>
      </c>
      <c r="B283" s="8"/>
      <c r="C283" s="22" t="s">
        <v>33</v>
      </c>
      <c r="D283" s="12"/>
      <c r="E283" s="4"/>
      <c r="F283" s="24"/>
      <c r="G283" s="7"/>
      <c r="H283" s="25"/>
      <c r="I283" s="4"/>
    </row>
    <row r="284" spans="1:9" ht="28.5" hidden="1" outlineLevel="2" x14ac:dyDescent="0.25">
      <c r="A284" s="2" t="s">
        <v>1</v>
      </c>
      <c r="B284" s="2" t="s">
        <v>2</v>
      </c>
      <c r="C284" s="2"/>
      <c r="D284" s="12"/>
      <c r="E284" s="4"/>
      <c r="F284" s="24"/>
      <c r="G284" s="7"/>
      <c r="H284" s="25"/>
      <c r="I284" s="4"/>
    </row>
    <row r="285" spans="1:9" ht="15.75" hidden="1" outlineLevel="2" x14ac:dyDescent="0.25">
      <c r="A285" s="13">
        <v>45291.999803240738</v>
      </c>
      <c r="B285" s="14">
        <v>3530</v>
      </c>
      <c r="C285" s="15">
        <v>1.6999999999999999E-3</v>
      </c>
      <c r="D285" s="12"/>
      <c r="E285" s="4"/>
      <c r="F285" s="24"/>
      <c r="G285" s="7"/>
      <c r="H285" s="25"/>
      <c r="I285" s="4"/>
    </row>
    <row r="286" spans="1:9" ht="15.75" hidden="1" outlineLevel="2" x14ac:dyDescent="0.25">
      <c r="A286" s="13">
        <v>45322.999803240738</v>
      </c>
      <c r="B286" s="14">
        <v>4134</v>
      </c>
      <c r="C286" s="15">
        <v>2.0999999999999999E-3</v>
      </c>
      <c r="D286" s="12"/>
      <c r="E286" s="4"/>
      <c r="F286" s="24"/>
      <c r="G286" s="7"/>
      <c r="H286" s="25"/>
      <c r="I286" s="4"/>
    </row>
    <row r="287" spans="1:9" ht="15.75" hidden="1" outlineLevel="2" x14ac:dyDescent="0.25">
      <c r="A287" s="13">
        <v>45351.999803240738</v>
      </c>
      <c r="B287" s="14">
        <v>5626</v>
      </c>
      <c r="C287" s="15">
        <v>2.8E-3</v>
      </c>
      <c r="D287" s="12"/>
      <c r="E287" s="4"/>
      <c r="F287" s="24"/>
      <c r="G287" s="7"/>
      <c r="H287" s="25"/>
      <c r="I287" s="4"/>
    </row>
    <row r="288" spans="1:9" ht="15.75" hidden="1" outlineLevel="2" x14ac:dyDescent="0.25">
      <c r="A288" s="13">
        <v>45382.999803240738</v>
      </c>
      <c r="B288" s="14">
        <v>6523</v>
      </c>
      <c r="C288" s="15">
        <v>3.3999999999999998E-3</v>
      </c>
      <c r="D288" s="12"/>
      <c r="E288" s="4"/>
      <c r="F288" s="24"/>
      <c r="G288" s="7"/>
      <c r="H288" s="25"/>
      <c r="I288" s="4"/>
    </row>
    <row r="289" spans="1:9" ht="15.75" hidden="1" outlineLevel="2" x14ac:dyDescent="0.25">
      <c r="A289" s="13">
        <v>45412.999803240738</v>
      </c>
      <c r="B289" s="14">
        <v>6183</v>
      </c>
      <c r="C289" s="15">
        <v>3.3E-3</v>
      </c>
      <c r="D289" s="12"/>
      <c r="E289" s="4"/>
      <c r="F289" s="24"/>
      <c r="G289" s="7"/>
      <c r="H289" s="25"/>
      <c r="I289" s="4"/>
    </row>
    <row r="290" spans="1:9" ht="15.75" hidden="1" outlineLevel="2" x14ac:dyDescent="0.25">
      <c r="A290" s="13">
        <v>45443.999803240738</v>
      </c>
      <c r="B290" s="14">
        <v>6163</v>
      </c>
      <c r="C290" s="15">
        <v>3.7000000000000002E-3</v>
      </c>
      <c r="D290" s="12"/>
      <c r="E290" s="4"/>
      <c r="F290" s="24"/>
      <c r="G290" s="7"/>
      <c r="H290" s="25"/>
      <c r="I290" s="4"/>
    </row>
    <row r="291" spans="1:9" ht="15.75" hidden="1" outlineLevel="2" x14ac:dyDescent="0.25">
      <c r="A291" s="13">
        <v>45473.999803240738</v>
      </c>
      <c r="B291" s="14">
        <v>4730</v>
      </c>
      <c r="C291" s="15">
        <v>3.0000000000000001E-3</v>
      </c>
      <c r="D291" s="12"/>
      <c r="E291" s="4"/>
      <c r="F291" s="24"/>
      <c r="G291" s="7"/>
      <c r="H291" s="25"/>
      <c r="I291" s="4"/>
    </row>
    <row r="292" spans="1:9" ht="15.75" hidden="1" outlineLevel="2" x14ac:dyDescent="0.25">
      <c r="A292" s="13">
        <v>45504.999803240738</v>
      </c>
      <c r="B292" s="14">
        <v>3850</v>
      </c>
      <c r="C292" s="15">
        <v>2.3999999999999998E-3</v>
      </c>
      <c r="D292" s="12"/>
      <c r="E292" s="4"/>
      <c r="F292" s="24"/>
      <c r="G292" s="7"/>
      <c r="H292" s="25"/>
      <c r="I292" s="4"/>
    </row>
    <row r="293" spans="1:9" ht="15.75" hidden="1" outlineLevel="2" x14ac:dyDescent="0.25">
      <c r="A293" s="13">
        <v>45535.999803240738</v>
      </c>
      <c r="B293" s="14">
        <v>3497</v>
      </c>
      <c r="C293" s="15">
        <v>1.9E-3</v>
      </c>
      <c r="D293" s="12"/>
      <c r="E293" s="4"/>
      <c r="F293" s="24"/>
      <c r="G293" s="7"/>
      <c r="H293" s="25"/>
      <c r="I293" s="4"/>
    </row>
    <row r="294" spans="1:9" ht="15.75" hidden="1" outlineLevel="2" x14ac:dyDescent="0.25">
      <c r="A294" s="13">
        <v>45565.999803240738</v>
      </c>
      <c r="B294" s="14">
        <v>4283</v>
      </c>
      <c r="C294" s="15">
        <v>2E-3</v>
      </c>
      <c r="D294" s="12"/>
      <c r="E294" s="4"/>
      <c r="F294" s="24"/>
      <c r="G294" s="7"/>
      <c r="H294" s="25"/>
      <c r="I294" s="4"/>
    </row>
    <row r="295" spans="1:9" ht="15.75" hidden="1" outlineLevel="2" x14ac:dyDescent="0.25">
      <c r="A295" s="13">
        <v>45596.999803240738</v>
      </c>
      <c r="B295" s="14">
        <v>3913</v>
      </c>
      <c r="C295" s="15">
        <v>1.8E-3</v>
      </c>
      <c r="D295" s="12"/>
      <c r="E295" s="4"/>
      <c r="F295" s="24"/>
      <c r="G295" s="7"/>
      <c r="H295" s="25"/>
      <c r="I295" s="4"/>
    </row>
    <row r="296" spans="1:9" ht="15.75" hidden="1" outlineLevel="2" x14ac:dyDescent="0.25">
      <c r="A296" s="13">
        <v>45626.999803240738</v>
      </c>
      <c r="B296" s="14">
        <v>3241</v>
      </c>
      <c r="C296" s="15">
        <v>1.4E-3</v>
      </c>
      <c r="D296" s="12"/>
      <c r="E296" s="4"/>
      <c r="F296" s="24"/>
      <c r="G296" s="7"/>
      <c r="H296" s="25"/>
      <c r="I296" s="4"/>
    </row>
    <row r="297" spans="1:9" ht="15.75" hidden="1" outlineLevel="2" x14ac:dyDescent="0.25">
      <c r="A297" s="13">
        <v>45657.999803240738</v>
      </c>
      <c r="B297" s="14">
        <v>3167</v>
      </c>
      <c r="C297" s="15">
        <v>1.5E-3</v>
      </c>
      <c r="D297" s="12"/>
      <c r="E297" s="4"/>
      <c r="F297" s="24"/>
      <c r="G297" s="7"/>
      <c r="H297" s="25"/>
      <c r="I297" s="4"/>
    </row>
    <row r="298" spans="1:9" ht="15.75" hidden="1" outlineLevel="2" x14ac:dyDescent="0.25">
      <c r="A298" s="13">
        <v>45688.999803240738</v>
      </c>
      <c r="B298" s="14">
        <v>4007</v>
      </c>
      <c r="C298" s="15">
        <v>1.9E-3</v>
      </c>
      <c r="D298" s="12"/>
      <c r="E298" s="4"/>
      <c r="F298" s="24"/>
      <c r="G298" s="7"/>
      <c r="H298" s="25"/>
      <c r="I298" s="4"/>
    </row>
    <row r="299" spans="1:9" ht="15.75" hidden="1" outlineLevel="2" x14ac:dyDescent="0.25">
      <c r="A299" s="13">
        <v>45716.999803240738</v>
      </c>
      <c r="B299" s="14">
        <v>5110</v>
      </c>
      <c r="C299" s="15">
        <v>2.3E-3</v>
      </c>
      <c r="D299" s="12"/>
      <c r="E299" s="4"/>
      <c r="F299" s="24"/>
      <c r="G299" s="7"/>
      <c r="H299" s="25"/>
      <c r="I299" s="4"/>
    </row>
    <row r="300" spans="1:9" ht="15.75" hidden="1" outlineLevel="2" x14ac:dyDescent="0.25">
      <c r="A300" s="13">
        <v>45747.999803240738</v>
      </c>
      <c r="B300" s="14">
        <v>5514</v>
      </c>
      <c r="C300" s="15">
        <v>2.5999999999999999E-3</v>
      </c>
      <c r="D300" s="12"/>
      <c r="E300" s="4"/>
      <c r="F300" s="24"/>
      <c r="G300" s="7"/>
      <c r="H300" s="25"/>
      <c r="I300" s="4"/>
    </row>
    <row r="301" spans="1:9" ht="15.75" hidden="1" outlineLevel="2" x14ac:dyDescent="0.25">
      <c r="A301" s="13">
        <v>45777.999803240738</v>
      </c>
      <c r="B301" s="14">
        <v>5328</v>
      </c>
      <c r="C301" s="15">
        <v>2.7000000000000001E-3</v>
      </c>
      <c r="D301" s="12"/>
      <c r="E301" s="4"/>
      <c r="F301" s="24"/>
      <c r="G301" s="7"/>
      <c r="H301" s="25"/>
      <c r="I301" s="4"/>
    </row>
    <row r="302" spans="1:9" ht="15.75" hidden="1" outlineLevel="2" x14ac:dyDescent="0.25">
      <c r="A302" s="13">
        <v>45808.999803240738</v>
      </c>
      <c r="B302" s="14">
        <v>5609</v>
      </c>
      <c r="C302" s="15">
        <v>2.8999999999999998E-3</v>
      </c>
      <c r="D302" s="12"/>
      <c r="E302" s="4"/>
      <c r="F302" s="24"/>
      <c r="G302" s="7"/>
      <c r="H302" s="25"/>
      <c r="I302" s="4"/>
    </row>
    <row r="303" spans="1:9" ht="15.75" hidden="1" outlineLevel="2" x14ac:dyDescent="0.25">
      <c r="A303" s="13">
        <v>45838.999803240738</v>
      </c>
      <c r="B303" s="14">
        <v>4633</v>
      </c>
      <c r="C303" s="15">
        <v>2.3999999999999998E-3</v>
      </c>
      <c r="D303" s="12"/>
      <c r="E303" s="4"/>
      <c r="F303" s="24"/>
      <c r="G303" s="7"/>
      <c r="H303" s="25"/>
      <c r="I303" s="4"/>
    </row>
    <row r="304" spans="1:9" ht="15.75" hidden="1" outlineLevel="2" x14ac:dyDescent="0.25">
      <c r="A304" s="13">
        <v>45869.999803240738</v>
      </c>
      <c r="B304" s="14">
        <v>4092</v>
      </c>
      <c r="C304" s="15">
        <v>2.2000000000000001E-3</v>
      </c>
      <c r="D304" s="12"/>
      <c r="E304" s="4"/>
      <c r="F304" s="24"/>
      <c r="G304" s="7"/>
      <c r="H304" s="25"/>
      <c r="I304" s="4"/>
    </row>
    <row r="305" spans="1:9" ht="15.75" hidden="1" outlineLevel="2" x14ac:dyDescent="0.25">
      <c r="A305" s="13">
        <v>45900.999803240738</v>
      </c>
      <c r="B305" s="14">
        <v>3565</v>
      </c>
      <c r="C305" s="15">
        <v>1.6999999999999999E-3</v>
      </c>
      <c r="D305" s="12"/>
      <c r="E305" s="4"/>
      <c r="F305" s="24"/>
      <c r="G305" s="7"/>
      <c r="H305" s="25"/>
      <c r="I305" s="4"/>
    </row>
    <row r="306" spans="1:9" ht="15.75" hidden="1" outlineLevel="2" x14ac:dyDescent="0.25">
      <c r="A306" s="13">
        <v>45930.999803240738</v>
      </c>
      <c r="B306" s="14">
        <v>3810</v>
      </c>
      <c r="C306" s="15">
        <v>1.8E-3</v>
      </c>
      <c r="D306" s="12"/>
      <c r="E306" s="4"/>
      <c r="F306" s="24"/>
      <c r="G306" s="7"/>
      <c r="H306" s="25"/>
      <c r="I306" s="4"/>
    </row>
    <row r="307" spans="1:9" ht="15.75" hidden="1" outlineLevel="2" x14ac:dyDescent="0.25">
      <c r="A307" s="13">
        <v>45961.999803240738</v>
      </c>
      <c r="B307" s="14">
        <v>3297</v>
      </c>
      <c r="C307" s="15">
        <v>1.6000000000000001E-3</v>
      </c>
      <c r="D307" s="12"/>
      <c r="E307" s="4"/>
      <c r="F307" s="24"/>
      <c r="G307" s="7"/>
      <c r="H307" s="25"/>
      <c r="I307" s="4"/>
    </row>
    <row r="308" spans="1:9" ht="15.75" hidden="1" outlineLevel="2" x14ac:dyDescent="0.25">
      <c r="A308" s="13">
        <v>45991.999803240738</v>
      </c>
      <c r="B308" s="14">
        <v>2579</v>
      </c>
      <c r="C308" s="15">
        <v>1.2999999999999999E-3</v>
      </c>
      <c r="D308" s="12"/>
      <c r="E308" s="4"/>
      <c r="F308" s="24"/>
      <c r="G308" s="7"/>
      <c r="H308" s="25"/>
      <c r="I308" s="4"/>
    </row>
    <row r="309" spans="1:9" collapsed="1" x14ac:dyDescent="0.25">
      <c r="A309" s="10" t="s">
        <v>3</v>
      </c>
      <c r="B309" s="11">
        <f>AVERAGE(B285:B308)</f>
        <v>4432.666666666667</v>
      </c>
      <c r="C309" s="11"/>
      <c r="D309" s="338">
        <v>1550000</v>
      </c>
      <c r="E309" s="339"/>
      <c r="F309" s="340">
        <f>B310/D309</f>
        <v>3.4317419354838709E-2</v>
      </c>
      <c r="G309" s="333"/>
      <c r="H309" s="341">
        <f>$H$29*(F309/$F$29)</f>
        <v>3.4317419354838709E-2</v>
      </c>
      <c r="I309" s="339">
        <f>D309*H309</f>
        <v>53192</v>
      </c>
    </row>
    <row r="310" spans="1:9" x14ac:dyDescent="0.25">
      <c r="A310" s="9" t="s">
        <v>4</v>
      </c>
      <c r="B310" s="3">
        <f>B309*12</f>
        <v>53192</v>
      </c>
      <c r="C310" s="3"/>
      <c r="D310" s="338"/>
      <c r="E310" s="339"/>
      <c r="F310" s="340"/>
      <c r="G310" s="333"/>
      <c r="H310" s="341"/>
      <c r="I310" s="339"/>
    </row>
    <row r="311" spans="1:9" x14ac:dyDescent="0.25">
      <c r="A311" s="8" t="s">
        <v>44</v>
      </c>
      <c r="B311" s="8"/>
      <c r="C311" s="22" t="s">
        <v>33</v>
      </c>
      <c r="D311" s="12"/>
      <c r="E311" s="4"/>
      <c r="F311" s="24"/>
      <c r="G311" s="7"/>
      <c r="H311" s="25"/>
      <c r="I311" s="4"/>
    </row>
    <row r="312" spans="1:9" ht="28.5" hidden="1" outlineLevel="2" x14ac:dyDescent="0.25">
      <c r="A312" s="2" t="s">
        <v>1</v>
      </c>
      <c r="B312" s="2" t="s">
        <v>2</v>
      </c>
      <c r="C312" s="2"/>
      <c r="D312" s="12"/>
      <c r="E312" s="4"/>
      <c r="F312" s="24"/>
      <c r="G312" s="7"/>
      <c r="H312" s="25"/>
      <c r="I312" s="4"/>
    </row>
    <row r="313" spans="1:9" ht="15.75" hidden="1" outlineLevel="2" x14ac:dyDescent="0.25">
      <c r="A313" s="13">
        <v>45291.999803240738</v>
      </c>
      <c r="B313" s="14">
        <v>1506</v>
      </c>
      <c r="C313" s="15">
        <v>1.1999999999999999E-3</v>
      </c>
      <c r="D313" s="12"/>
      <c r="E313" s="4"/>
      <c r="F313" s="24"/>
      <c r="G313" s="7"/>
      <c r="H313" s="25"/>
      <c r="I313" s="4"/>
    </row>
    <row r="314" spans="1:9" ht="15.75" hidden="1" outlineLevel="2" x14ac:dyDescent="0.25">
      <c r="A314" s="13">
        <v>45322.999803240738</v>
      </c>
      <c r="B314" s="14">
        <v>1918</v>
      </c>
      <c r="C314" s="15">
        <v>1.6000000000000001E-3</v>
      </c>
      <c r="D314" s="12"/>
      <c r="E314" s="4"/>
      <c r="F314" s="24"/>
      <c r="G314" s="7"/>
      <c r="H314" s="25"/>
      <c r="I314" s="4"/>
    </row>
    <row r="315" spans="1:9" ht="15.75" hidden="1" outlineLevel="2" x14ac:dyDescent="0.25">
      <c r="A315" s="13">
        <v>45351.999803240738</v>
      </c>
      <c r="B315" s="14">
        <v>3079</v>
      </c>
      <c r="C315" s="15">
        <v>2.5000000000000001E-3</v>
      </c>
      <c r="D315" s="12"/>
      <c r="E315" s="4"/>
      <c r="F315" s="24"/>
      <c r="G315" s="7"/>
      <c r="H315" s="25"/>
      <c r="I315" s="4"/>
    </row>
    <row r="316" spans="1:9" ht="15.75" hidden="1" outlineLevel="2" x14ac:dyDescent="0.25">
      <c r="A316" s="13">
        <v>45382.999803240738</v>
      </c>
      <c r="B316" s="14">
        <v>3636</v>
      </c>
      <c r="C316" s="15">
        <v>3.2000000000000002E-3</v>
      </c>
      <c r="D316" s="12"/>
      <c r="E316" s="4"/>
      <c r="F316" s="24"/>
      <c r="G316" s="7"/>
      <c r="H316" s="25"/>
      <c r="I316" s="4"/>
    </row>
    <row r="317" spans="1:9" ht="15.75" hidden="1" outlineLevel="2" x14ac:dyDescent="0.25">
      <c r="A317" s="13">
        <v>45412.999803240738</v>
      </c>
      <c r="B317" s="14">
        <v>3584</v>
      </c>
      <c r="C317" s="15">
        <v>3.2000000000000002E-3</v>
      </c>
      <c r="D317" s="12"/>
      <c r="E317" s="4"/>
      <c r="F317" s="24"/>
      <c r="G317" s="7"/>
      <c r="H317" s="25"/>
      <c r="I317" s="4"/>
    </row>
    <row r="318" spans="1:9" ht="15.75" hidden="1" outlineLevel="2" x14ac:dyDescent="0.25">
      <c r="A318" s="13">
        <v>45443.999803240738</v>
      </c>
      <c r="B318" s="14">
        <v>3171</v>
      </c>
      <c r="C318" s="15">
        <v>3.5000000000000001E-3</v>
      </c>
      <c r="D318" s="12"/>
      <c r="E318" s="4"/>
      <c r="F318" s="24"/>
      <c r="G318" s="7"/>
      <c r="H318" s="25"/>
      <c r="I318" s="4"/>
    </row>
    <row r="319" spans="1:9" ht="15.75" hidden="1" outlineLevel="2" x14ac:dyDescent="0.25">
      <c r="A319" s="13">
        <v>45473.999803240738</v>
      </c>
      <c r="B319" s="14">
        <v>2738</v>
      </c>
      <c r="C319" s="15">
        <v>3.0000000000000001E-3</v>
      </c>
      <c r="D319" s="12"/>
      <c r="E319" s="4"/>
      <c r="F319" s="24"/>
      <c r="G319" s="7"/>
      <c r="H319" s="25"/>
      <c r="I319" s="4"/>
    </row>
    <row r="320" spans="1:9" ht="15.75" hidden="1" outlineLevel="2" x14ac:dyDescent="0.25">
      <c r="A320" s="13">
        <v>45504.999803240738</v>
      </c>
      <c r="B320" s="14">
        <v>1851</v>
      </c>
      <c r="C320" s="15">
        <v>2E-3</v>
      </c>
      <c r="D320" s="12"/>
      <c r="E320" s="4"/>
      <c r="F320" s="24"/>
      <c r="G320" s="7"/>
      <c r="H320" s="25"/>
      <c r="I320" s="4"/>
    </row>
    <row r="321" spans="1:9" ht="15.75" hidden="1" outlineLevel="2" x14ac:dyDescent="0.25">
      <c r="A321" s="13">
        <v>45535.999803240738</v>
      </c>
      <c r="B321" s="14">
        <v>2087</v>
      </c>
      <c r="C321" s="15">
        <v>2E-3</v>
      </c>
      <c r="D321" s="12"/>
      <c r="E321" s="4"/>
      <c r="F321" s="24"/>
      <c r="G321" s="7"/>
      <c r="H321" s="25"/>
      <c r="I321" s="4"/>
    </row>
    <row r="322" spans="1:9" ht="15.75" hidden="1" outlineLevel="2" x14ac:dyDescent="0.25">
      <c r="A322" s="13">
        <v>45565.999803240738</v>
      </c>
      <c r="B322" s="14">
        <v>2208</v>
      </c>
      <c r="C322" s="15">
        <v>1.9E-3</v>
      </c>
      <c r="D322" s="12"/>
      <c r="E322" s="4"/>
      <c r="F322" s="24"/>
      <c r="G322" s="7"/>
      <c r="H322" s="25"/>
      <c r="I322" s="4"/>
    </row>
    <row r="323" spans="1:9" ht="15.75" hidden="1" outlineLevel="2" x14ac:dyDescent="0.25">
      <c r="A323" s="13">
        <v>45596.999803240738</v>
      </c>
      <c r="B323" s="14">
        <v>2081</v>
      </c>
      <c r="C323" s="15">
        <v>1.6999999999999999E-3</v>
      </c>
      <c r="D323" s="12"/>
      <c r="E323" s="4"/>
      <c r="F323" s="24"/>
      <c r="G323" s="7"/>
      <c r="H323" s="25"/>
      <c r="I323" s="4"/>
    </row>
    <row r="324" spans="1:9" ht="15.75" hidden="1" outlineLevel="2" x14ac:dyDescent="0.25">
      <c r="A324" s="13">
        <v>45626.999803240738</v>
      </c>
      <c r="B324" s="14">
        <v>1637</v>
      </c>
      <c r="C324" s="15">
        <v>1.1999999999999999E-3</v>
      </c>
      <c r="D324" s="12"/>
      <c r="E324" s="4"/>
      <c r="F324" s="24"/>
      <c r="G324" s="7"/>
      <c r="H324" s="25"/>
      <c r="I324" s="4"/>
    </row>
    <row r="325" spans="1:9" ht="15.75" hidden="1" outlineLevel="2" x14ac:dyDescent="0.25">
      <c r="A325" s="13">
        <v>45657.999803240738</v>
      </c>
      <c r="B325" s="14">
        <v>1544</v>
      </c>
      <c r="C325" s="15">
        <v>1.1999999999999999E-3</v>
      </c>
      <c r="D325" s="12"/>
      <c r="E325" s="4"/>
      <c r="F325" s="24"/>
      <c r="G325" s="7"/>
      <c r="H325" s="25"/>
      <c r="I325" s="4"/>
    </row>
    <row r="326" spans="1:9" ht="15.75" hidden="1" outlineLevel="2" x14ac:dyDescent="0.25">
      <c r="A326" s="13">
        <v>45688.999803240738</v>
      </c>
      <c r="B326" s="14">
        <v>1732</v>
      </c>
      <c r="C326" s="15">
        <v>1.4E-3</v>
      </c>
      <c r="D326" s="12"/>
      <c r="E326" s="4"/>
      <c r="F326" s="24"/>
      <c r="G326" s="7"/>
      <c r="H326" s="25"/>
      <c r="I326" s="4"/>
    </row>
    <row r="327" spans="1:9" ht="15.75" hidden="1" outlineLevel="2" x14ac:dyDescent="0.25">
      <c r="A327" s="13">
        <v>45716.999803240738</v>
      </c>
      <c r="B327" s="14">
        <v>2780</v>
      </c>
      <c r="C327" s="15">
        <v>2.2000000000000001E-3</v>
      </c>
      <c r="D327" s="12"/>
      <c r="E327" s="4"/>
      <c r="F327" s="24"/>
      <c r="G327" s="7"/>
      <c r="H327" s="25"/>
      <c r="I327" s="4"/>
    </row>
    <row r="328" spans="1:9" ht="15.75" hidden="1" outlineLevel="2" x14ac:dyDescent="0.25">
      <c r="A328" s="13">
        <v>45747.999803240738</v>
      </c>
      <c r="B328" s="14">
        <v>3380</v>
      </c>
      <c r="C328" s="15">
        <v>2.8E-3</v>
      </c>
      <c r="D328" s="12"/>
      <c r="E328" s="4"/>
      <c r="F328" s="24"/>
      <c r="G328" s="7"/>
      <c r="H328" s="25"/>
      <c r="I328" s="4"/>
    </row>
    <row r="329" spans="1:9" ht="15.75" hidden="1" outlineLevel="2" x14ac:dyDescent="0.25">
      <c r="A329" s="13">
        <v>45777.999803240738</v>
      </c>
      <c r="B329" s="14">
        <v>2770</v>
      </c>
      <c r="C329" s="15">
        <v>2.3999999999999998E-3</v>
      </c>
      <c r="D329" s="12"/>
      <c r="E329" s="4"/>
      <c r="F329" s="24"/>
      <c r="G329" s="7"/>
      <c r="H329" s="25"/>
      <c r="I329" s="4"/>
    </row>
    <row r="330" spans="1:9" ht="15.75" hidden="1" outlineLevel="2" x14ac:dyDescent="0.25">
      <c r="A330" s="13">
        <v>45808.999803240738</v>
      </c>
      <c r="B330" s="14">
        <v>2922</v>
      </c>
      <c r="C330" s="15">
        <v>2.7000000000000001E-3</v>
      </c>
      <c r="D330" s="12"/>
      <c r="E330" s="4"/>
      <c r="F330" s="24"/>
      <c r="G330" s="7"/>
      <c r="H330" s="25"/>
      <c r="I330" s="4"/>
    </row>
    <row r="331" spans="1:9" ht="15.75" hidden="1" outlineLevel="2" x14ac:dyDescent="0.25">
      <c r="A331" s="13">
        <v>45838.999803240738</v>
      </c>
      <c r="B331" s="14">
        <v>2632</v>
      </c>
      <c r="C331" s="15">
        <v>2.5000000000000001E-3</v>
      </c>
      <c r="D331" s="12"/>
      <c r="E331" s="4"/>
      <c r="F331" s="24"/>
      <c r="G331" s="7"/>
      <c r="H331" s="25"/>
      <c r="I331" s="4"/>
    </row>
    <row r="332" spans="1:9" ht="15.75" hidden="1" outlineLevel="2" x14ac:dyDescent="0.25">
      <c r="A332" s="13">
        <v>45869.999803240738</v>
      </c>
      <c r="B332" s="14">
        <v>2301</v>
      </c>
      <c r="C332" s="15">
        <v>2.2000000000000001E-3</v>
      </c>
      <c r="D332" s="12"/>
      <c r="E332" s="4"/>
      <c r="F332" s="24"/>
      <c r="G332" s="7"/>
      <c r="H332" s="25"/>
      <c r="I332" s="4"/>
    </row>
    <row r="333" spans="1:9" ht="15.75" hidden="1" outlineLevel="2" x14ac:dyDescent="0.25">
      <c r="A333" s="13">
        <v>45900.999803240738</v>
      </c>
      <c r="B333" s="14">
        <v>1909</v>
      </c>
      <c r="C333" s="15">
        <v>1.5E-3</v>
      </c>
      <c r="D333" s="12"/>
      <c r="E333" s="4"/>
      <c r="F333" s="24"/>
      <c r="G333" s="7"/>
      <c r="H333" s="25"/>
      <c r="I333" s="4"/>
    </row>
    <row r="334" spans="1:9" ht="15.75" hidden="1" outlineLevel="2" x14ac:dyDescent="0.25">
      <c r="A334" s="13">
        <v>45930.999803240738</v>
      </c>
      <c r="B334" s="14">
        <v>1934</v>
      </c>
      <c r="C334" s="15">
        <v>1.5E-3</v>
      </c>
      <c r="D334" s="12"/>
      <c r="E334" s="4"/>
      <c r="F334" s="24"/>
      <c r="G334" s="7"/>
      <c r="H334" s="25"/>
      <c r="I334" s="4"/>
    </row>
    <row r="335" spans="1:9" ht="15.75" hidden="1" outlineLevel="2" x14ac:dyDescent="0.25">
      <c r="A335" s="13">
        <v>45961.999803240738</v>
      </c>
      <c r="B335" s="14">
        <v>1905</v>
      </c>
      <c r="C335" s="15">
        <v>1.5E-3</v>
      </c>
      <c r="D335" s="12"/>
      <c r="E335" s="4"/>
      <c r="F335" s="24"/>
      <c r="G335" s="7"/>
      <c r="H335" s="25"/>
      <c r="I335" s="4"/>
    </row>
    <row r="336" spans="1:9" ht="15.75" hidden="1" outlineLevel="2" x14ac:dyDescent="0.25">
      <c r="A336" s="13">
        <v>45991.999803240738</v>
      </c>
      <c r="B336" s="14">
        <v>1533</v>
      </c>
      <c r="C336" s="15">
        <v>1.1999999999999999E-3</v>
      </c>
      <c r="D336" s="12"/>
      <c r="E336" s="4"/>
      <c r="F336" s="24"/>
      <c r="G336" s="7"/>
      <c r="H336" s="25"/>
      <c r="I336" s="4"/>
    </row>
    <row r="337" spans="1:9" collapsed="1" x14ac:dyDescent="0.25">
      <c r="A337" s="10" t="s">
        <v>3</v>
      </c>
      <c r="B337" s="11">
        <f>AVERAGE(B313:B336)</f>
        <v>2368.25</v>
      </c>
      <c r="C337" s="11"/>
      <c r="D337" s="338">
        <v>1300000</v>
      </c>
      <c r="E337" s="339"/>
      <c r="F337" s="340">
        <f>B338/D337</f>
        <v>2.1860769230769232E-2</v>
      </c>
      <c r="G337" s="333"/>
      <c r="H337" s="341">
        <f>$H$29*(F337/$F$29)</f>
        <v>2.1860769230769232E-2</v>
      </c>
      <c r="I337" s="339">
        <f>D337*H337</f>
        <v>28419.000000000004</v>
      </c>
    </row>
    <row r="338" spans="1:9" x14ac:dyDescent="0.25">
      <c r="A338" s="9" t="s">
        <v>4</v>
      </c>
      <c r="B338" s="3">
        <f>B337*12</f>
        <v>28419</v>
      </c>
      <c r="C338" s="3"/>
      <c r="D338" s="338"/>
      <c r="E338" s="339"/>
      <c r="F338" s="340"/>
      <c r="G338" s="333"/>
      <c r="H338" s="341"/>
      <c r="I338" s="339"/>
    </row>
    <row r="339" spans="1:9" x14ac:dyDescent="0.25">
      <c r="A339" s="8" t="s">
        <v>45</v>
      </c>
      <c r="B339" s="8"/>
      <c r="C339" s="22" t="s">
        <v>33</v>
      </c>
      <c r="D339" s="12"/>
      <c r="E339" s="4"/>
      <c r="F339" s="24"/>
      <c r="G339" s="7"/>
      <c r="H339" s="25"/>
      <c r="I339" s="4"/>
    </row>
    <row r="340" spans="1:9" ht="28.5" hidden="1" outlineLevel="2" x14ac:dyDescent="0.25">
      <c r="A340" s="2" t="s">
        <v>1</v>
      </c>
      <c r="B340" s="2" t="s">
        <v>2</v>
      </c>
      <c r="C340" s="2"/>
      <c r="D340" s="12"/>
      <c r="E340" s="4"/>
      <c r="F340" s="24"/>
      <c r="G340" s="7"/>
      <c r="H340" s="25"/>
      <c r="I340" s="4"/>
    </row>
    <row r="341" spans="1:9" ht="15.75" hidden="1" outlineLevel="2" x14ac:dyDescent="0.25">
      <c r="A341" s="13">
        <v>45291.999803240738</v>
      </c>
      <c r="B341" s="14">
        <v>2855</v>
      </c>
      <c r="C341" s="15">
        <v>1.9E-3</v>
      </c>
      <c r="D341" s="12"/>
      <c r="E341" s="4"/>
      <c r="F341" s="24"/>
      <c r="G341" s="7"/>
      <c r="H341" s="25"/>
      <c r="I341" s="4"/>
    </row>
    <row r="342" spans="1:9" ht="15.75" hidden="1" outlineLevel="2" x14ac:dyDescent="0.25">
      <c r="A342" s="13">
        <v>45322.999803240738</v>
      </c>
      <c r="B342" s="14">
        <v>3503</v>
      </c>
      <c r="C342" s="15">
        <v>2.5999999999999999E-3</v>
      </c>
      <c r="D342" s="12"/>
      <c r="E342" s="4"/>
      <c r="F342" s="24"/>
      <c r="G342" s="7"/>
      <c r="H342" s="25"/>
      <c r="I342" s="4"/>
    </row>
    <row r="343" spans="1:9" ht="15.75" hidden="1" outlineLevel="2" x14ac:dyDescent="0.25">
      <c r="A343" s="13">
        <v>45351.999803240738</v>
      </c>
      <c r="B343" s="14">
        <v>4389</v>
      </c>
      <c r="C343" s="15">
        <v>3.0999999999999999E-3</v>
      </c>
      <c r="D343" s="12"/>
      <c r="E343" s="4"/>
      <c r="F343" s="24"/>
      <c r="G343" s="7"/>
      <c r="H343" s="25"/>
      <c r="I343" s="4"/>
    </row>
    <row r="344" spans="1:9" ht="15.75" hidden="1" outlineLevel="2" x14ac:dyDescent="0.25">
      <c r="A344" s="13">
        <v>45382.999803240738</v>
      </c>
      <c r="B344" s="14">
        <v>5344</v>
      </c>
      <c r="C344" s="15">
        <v>4.0000000000000001E-3</v>
      </c>
      <c r="D344" s="12"/>
      <c r="E344" s="4"/>
      <c r="F344" s="24"/>
      <c r="G344" s="7"/>
      <c r="H344" s="25"/>
      <c r="I344" s="4"/>
    </row>
    <row r="345" spans="1:9" ht="15.75" hidden="1" outlineLevel="2" x14ac:dyDescent="0.25">
      <c r="A345" s="13">
        <v>45412.999803240738</v>
      </c>
      <c r="B345" s="14">
        <v>4617</v>
      </c>
      <c r="C345" s="15">
        <v>3.5000000000000001E-3</v>
      </c>
      <c r="D345" s="12"/>
      <c r="E345" s="4"/>
      <c r="F345" s="24"/>
      <c r="G345" s="7"/>
      <c r="H345" s="25"/>
      <c r="I345" s="4"/>
    </row>
    <row r="346" spans="1:9" ht="15.75" hidden="1" outlineLevel="2" x14ac:dyDescent="0.25">
      <c r="A346" s="13">
        <v>45443.999803240738</v>
      </c>
      <c r="B346" s="14">
        <v>5094</v>
      </c>
      <c r="C346" s="15">
        <v>4.4000000000000003E-3</v>
      </c>
      <c r="D346" s="12"/>
      <c r="E346" s="4"/>
      <c r="F346" s="24"/>
      <c r="G346" s="7"/>
      <c r="H346" s="25"/>
      <c r="I346" s="4"/>
    </row>
    <row r="347" spans="1:9" ht="15.75" hidden="1" outlineLevel="2" x14ac:dyDescent="0.25">
      <c r="A347" s="13">
        <v>45473.999803240738</v>
      </c>
      <c r="B347" s="14">
        <v>4609</v>
      </c>
      <c r="C347" s="15">
        <v>3.8E-3</v>
      </c>
      <c r="D347" s="12"/>
      <c r="E347" s="4"/>
      <c r="F347" s="24"/>
      <c r="G347" s="7"/>
      <c r="H347" s="25"/>
      <c r="I347" s="4"/>
    </row>
    <row r="348" spans="1:9" ht="15.75" hidden="1" outlineLevel="2" x14ac:dyDescent="0.25">
      <c r="A348" s="13">
        <v>45504.999803240738</v>
      </c>
      <c r="B348" s="14">
        <v>3577</v>
      </c>
      <c r="C348" s="15">
        <v>2.8999999999999998E-3</v>
      </c>
      <c r="D348" s="12"/>
      <c r="E348" s="4"/>
      <c r="F348" s="24"/>
      <c r="G348" s="7"/>
      <c r="H348" s="25"/>
      <c r="I348" s="4"/>
    </row>
    <row r="349" spans="1:9" ht="15.75" hidden="1" outlineLevel="2" x14ac:dyDescent="0.25">
      <c r="A349" s="13">
        <v>45535.999803240738</v>
      </c>
      <c r="B349" s="14">
        <v>3529</v>
      </c>
      <c r="C349" s="15">
        <v>2.7000000000000001E-3</v>
      </c>
      <c r="D349" s="12"/>
      <c r="E349" s="4"/>
      <c r="F349" s="24"/>
      <c r="G349" s="7"/>
      <c r="H349" s="25"/>
      <c r="I349" s="4"/>
    </row>
    <row r="350" spans="1:9" ht="15.75" hidden="1" outlineLevel="2" x14ac:dyDescent="0.25">
      <c r="A350" s="13">
        <v>45565.999803240738</v>
      </c>
      <c r="B350" s="14">
        <v>3531</v>
      </c>
      <c r="C350" s="15">
        <v>2.3999999999999998E-3</v>
      </c>
      <c r="D350" s="12"/>
      <c r="E350" s="4"/>
      <c r="F350" s="24"/>
      <c r="G350" s="7"/>
      <c r="H350" s="25"/>
      <c r="I350" s="4"/>
    </row>
    <row r="351" spans="1:9" ht="15.75" hidden="1" outlineLevel="2" x14ac:dyDescent="0.25">
      <c r="A351" s="13">
        <v>45596.999803240738</v>
      </c>
      <c r="B351" s="14">
        <v>3037</v>
      </c>
      <c r="C351" s="15">
        <v>2E-3</v>
      </c>
      <c r="D351" s="12"/>
      <c r="E351" s="4"/>
      <c r="F351" s="24"/>
      <c r="G351" s="7"/>
      <c r="H351" s="25"/>
      <c r="I351" s="4"/>
    </row>
    <row r="352" spans="1:9" ht="15.75" hidden="1" outlineLevel="2" x14ac:dyDescent="0.25">
      <c r="A352" s="13">
        <v>45626.999803240738</v>
      </c>
      <c r="B352" s="14">
        <v>2694</v>
      </c>
      <c r="C352" s="15">
        <v>1.6999999999999999E-3</v>
      </c>
      <c r="D352" s="12"/>
      <c r="E352" s="4"/>
      <c r="F352" s="24"/>
      <c r="G352" s="7"/>
      <c r="H352" s="25"/>
      <c r="I352" s="4"/>
    </row>
    <row r="353" spans="1:9" ht="15.75" hidden="1" outlineLevel="2" x14ac:dyDescent="0.25">
      <c r="A353" s="13">
        <v>45657.999803240738</v>
      </c>
      <c r="B353" s="14">
        <v>3146</v>
      </c>
      <c r="C353" s="15">
        <v>2E-3</v>
      </c>
      <c r="D353" s="12"/>
      <c r="E353" s="4"/>
      <c r="F353" s="24"/>
      <c r="G353" s="7"/>
      <c r="H353" s="25"/>
      <c r="I353" s="4"/>
    </row>
    <row r="354" spans="1:9" ht="15.75" hidden="1" outlineLevel="2" x14ac:dyDescent="0.25">
      <c r="A354" s="13">
        <v>45688.999803240738</v>
      </c>
      <c r="B354" s="14">
        <v>2938</v>
      </c>
      <c r="C354" s="15">
        <v>1.9E-3</v>
      </c>
      <c r="D354" s="12"/>
      <c r="E354" s="4"/>
      <c r="F354" s="24"/>
      <c r="G354" s="7"/>
      <c r="H354" s="25"/>
      <c r="I354" s="4"/>
    </row>
    <row r="355" spans="1:9" ht="15.75" hidden="1" outlineLevel="2" x14ac:dyDescent="0.25">
      <c r="A355" s="13">
        <v>45716.999803240738</v>
      </c>
      <c r="B355" s="14">
        <v>4572</v>
      </c>
      <c r="C355" s="15">
        <v>2.8E-3</v>
      </c>
      <c r="D355" s="12"/>
      <c r="E355" s="4"/>
      <c r="F355" s="24"/>
      <c r="G355" s="7"/>
      <c r="H355" s="25"/>
      <c r="I355" s="4"/>
    </row>
    <row r="356" spans="1:9" ht="15.75" hidden="1" outlineLevel="2" x14ac:dyDescent="0.25">
      <c r="A356" s="13">
        <v>45747.999803240738</v>
      </c>
      <c r="B356" s="14">
        <v>3816</v>
      </c>
      <c r="C356" s="15">
        <v>2.5000000000000001E-3</v>
      </c>
      <c r="D356" s="12"/>
      <c r="E356" s="4"/>
      <c r="F356" s="24"/>
      <c r="G356" s="7"/>
      <c r="H356" s="25"/>
      <c r="I356" s="4"/>
    </row>
    <row r="357" spans="1:9" ht="15.75" hidden="1" outlineLevel="2" x14ac:dyDescent="0.25">
      <c r="A357" s="13">
        <v>45777.999803240738</v>
      </c>
      <c r="B357" s="14">
        <v>7516</v>
      </c>
      <c r="C357" s="15">
        <v>5.1999999999999998E-3</v>
      </c>
      <c r="D357" s="12"/>
      <c r="E357" s="4"/>
      <c r="F357" s="24"/>
      <c r="G357" s="7"/>
      <c r="H357" s="25"/>
      <c r="I357" s="4"/>
    </row>
    <row r="358" spans="1:9" ht="15.75" hidden="1" outlineLevel="2" x14ac:dyDescent="0.25">
      <c r="A358" s="13">
        <v>45808.999803240738</v>
      </c>
      <c r="B358" s="14">
        <v>4877</v>
      </c>
      <c r="C358" s="15">
        <v>3.3999999999999998E-3</v>
      </c>
      <c r="D358" s="12"/>
      <c r="E358" s="4"/>
      <c r="F358" s="24"/>
      <c r="G358" s="7"/>
      <c r="H358" s="25"/>
      <c r="I358" s="4"/>
    </row>
    <row r="359" spans="1:9" ht="15.75" hidden="1" outlineLevel="2" x14ac:dyDescent="0.25">
      <c r="A359" s="13">
        <v>45838.999803240738</v>
      </c>
      <c r="B359" s="14">
        <v>4785</v>
      </c>
      <c r="C359" s="15">
        <v>3.3E-3</v>
      </c>
      <c r="D359" s="12"/>
      <c r="E359" s="4"/>
      <c r="F359" s="24"/>
      <c r="G359" s="7"/>
      <c r="H359" s="25"/>
      <c r="I359" s="4"/>
    </row>
    <row r="360" spans="1:9" ht="15.75" hidden="1" outlineLevel="2" x14ac:dyDescent="0.25">
      <c r="A360" s="13">
        <v>45869.999803240738</v>
      </c>
      <c r="B360" s="14">
        <v>3703</v>
      </c>
      <c r="C360" s="15">
        <v>2.5999999999999999E-3</v>
      </c>
      <c r="D360" s="12"/>
      <c r="E360" s="4"/>
      <c r="F360" s="24"/>
      <c r="G360" s="7"/>
      <c r="H360" s="25"/>
      <c r="I360" s="4"/>
    </row>
    <row r="361" spans="1:9" ht="15.75" hidden="1" outlineLevel="2" x14ac:dyDescent="0.25">
      <c r="A361" s="13">
        <v>45900.999803240738</v>
      </c>
      <c r="B361" s="14">
        <v>3401</v>
      </c>
      <c r="C361" s="15">
        <v>2.2000000000000001E-3</v>
      </c>
      <c r="D361" s="12"/>
      <c r="E361" s="4"/>
      <c r="F361" s="24"/>
      <c r="G361" s="7"/>
      <c r="H361" s="25"/>
      <c r="I361" s="4"/>
    </row>
    <row r="362" spans="1:9" ht="15.75" hidden="1" outlineLevel="2" x14ac:dyDescent="0.25">
      <c r="A362" s="13">
        <v>45930.999803240738</v>
      </c>
      <c r="B362" s="14">
        <v>2659</v>
      </c>
      <c r="C362" s="15">
        <v>1.6999999999999999E-3</v>
      </c>
      <c r="D362" s="12"/>
      <c r="E362" s="4"/>
      <c r="F362" s="24"/>
      <c r="G362" s="7"/>
      <c r="H362" s="25"/>
      <c r="I362" s="4"/>
    </row>
    <row r="363" spans="1:9" ht="15.75" hidden="1" outlineLevel="2" x14ac:dyDescent="0.25">
      <c r="A363" s="13">
        <v>45961.999803240738</v>
      </c>
      <c r="B363" s="14">
        <v>2464</v>
      </c>
      <c r="C363" s="15">
        <v>1.6000000000000001E-3</v>
      </c>
      <c r="D363" s="12"/>
      <c r="E363" s="4"/>
      <c r="F363" s="24"/>
      <c r="G363" s="7"/>
      <c r="H363" s="25"/>
      <c r="I363" s="4"/>
    </row>
    <row r="364" spans="1:9" ht="15.75" hidden="1" outlineLevel="2" x14ac:dyDescent="0.25">
      <c r="A364" s="13">
        <v>45991.999803240738</v>
      </c>
      <c r="B364" s="14">
        <v>2074</v>
      </c>
      <c r="C364" s="15">
        <v>1.4E-3</v>
      </c>
      <c r="D364" s="12"/>
      <c r="E364" s="4"/>
      <c r="F364" s="24"/>
      <c r="G364" s="7"/>
      <c r="H364" s="25"/>
      <c r="I364" s="4"/>
    </row>
    <row r="365" spans="1:9" collapsed="1" x14ac:dyDescent="0.25">
      <c r="A365" s="10" t="s">
        <v>3</v>
      </c>
      <c r="B365" s="11">
        <f>AVERAGE(B341:B364)</f>
        <v>3863.75</v>
      </c>
      <c r="C365" s="11"/>
      <c r="D365" s="338">
        <v>1100000</v>
      </c>
      <c r="E365" s="339"/>
      <c r="F365" s="340">
        <f>B366/D365</f>
        <v>4.215E-2</v>
      </c>
      <c r="G365" s="333"/>
      <c r="H365" s="341">
        <f>$H$29*(F365/$F$29)</f>
        <v>4.215E-2</v>
      </c>
      <c r="I365" s="339">
        <f>D365*H365</f>
        <v>46365</v>
      </c>
    </row>
    <row r="366" spans="1:9" x14ac:dyDescent="0.25">
      <c r="A366" s="9" t="s">
        <v>4</v>
      </c>
      <c r="B366" s="3">
        <f>B365*12</f>
        <v>46365</v>
      </c>
      <c r="C366" s="3"/>
      <c r="D366" s="338"/>
      <c r="E366" s="339"/>
      <c r="F366" s="340"/>
      <c r="G366" s="333"/>
      <c r="H366" s="341"/>
      <c r="I366" s="339"/>
    </row>
    <row r="367" spans="1:9" x14ac:dyDescent="0.25">
      <c r="A367" s="8" t="s">
        <v>46</v>
      </c>
      <c r="B367" s="8"/>
      <c r="C367" s="22" t="s">
        <v>33</v>
      </c>
      <c r="D367" s="12"/>
      <c r="E367" s="4"/>
      <c r="F367" s="24"/>
      <c r="G367" s="7"/>
      <c r="H367" s="25"/>
      <c r="I367" s="4"/>
    </row>
    <row r="368" spans="1:9" ht="28.5" hidden="1" outlineLevel="2" x14ac:dyDescent="0.25">
      <c r="A368" s="2" t="s">
        <v>1</v>
      </c>
      <c r="B368" s="2" t="s">
        <v>2</v>
      </c>
      <c r="C368" s="2"/>
      <c r="D368" s="12"/>
      <c r="E368" s="4"/>
      <c r="F368" s="24"/>
      <c r="G368" s="7"/>
      <c r="H368" s="25"/>
      <c r="I368" s="4"/>
    </row>
    <row r="369" spans="1:9" ht="15.75" hidden="1" outlineLevel="2" x14ac:dyDescent="0.25">
      <c r="A369" s="13">
        <v>45291.999803240738</v>
      </c>
      <c r="B369" s="14">
        <v>3638</v>
      </c>
      <c r="C369" s="15">
        <v>1.9E-3</v>
      </c>
      <c r="D369" s="12"/>
      <c r="E369" s="4"/>
      <c r="F369" s="24"/>
      <c r="G369" s="7"/>
      <c r="H369" s="25"/>
      <c r="I369" s="4"/>
    </row>
    <row r="370" spans="1:9" ht="15.75" hidden="1" outlineLevel="2" x14ac:dyDescent="0.25">
      <c r="A370" s="13">
        <v>45322.999803240738</v>
      </c>
      <c r="B370" s="14">
        <v>4953</v>
      </c>
      <c r="C370" s="15">
        <v>2.7000000000000001E-3</v>
      </c>
      <c r="D370" s="12"/>
      <c r="E370" s="4"/>
      <c r="F370" s="24"/>
      <c r="G370" s="7"/>
      <c r="H370" s="25"/>
      <c r="I370" s="4"/>
    </row>
    <row r="371" spans="1:9" ht="15.75" hidden="1" outlineLevel="2" x14ac:dyDescent="0.25">
      <c r="A371" s="13">
        <v>45351.999803240738</v>
      </c>
      <c r="B371" s="14">
        <v>6639</v>
      </c>
      <c r="C371" s="15">
        <v>3.7000000000000002E-3</v>
      </c>
      <c r="D371" s="12"/>
      <c r="E371" s="4"/>
      <c r="F371" s="24"/>
      <c r="G371" s="7"/>
      <c r="H371" s="25"/>
      <c r="I371" s="4"/>
    </row>
    <row r="372" spans="1:9" ht="15.75" hidden="1" outlineLevel="2" x14ac:dyDescent="0.25">
      <c r="A372" s="13">
        <v>45382.999803240738</v>
      </c>
      <c r="B372" s="14">
        <v>7009</v>
      </c>
      <c r="C372" s="15">
        <v>4.1000000000000003E-3</v>
      </c>
      <c r="D372" s="12"/>
      <c r="E372" s="4"/>
      <c r="F372" s="24"/>
      <c r="G372" s="7"/>
      <c r="H372" s="25"/>
      <c r="I372" s="4"/>
    </row>
    <row r="373" spans="1:9" ht="15.75" hidden="1" outlineLevel="2" x14ac:dyDescent="0.25">
      <c r="A373" s="13">
        <v>45412.999803240738</v>
      </c>
      <c r="B373" s="14">
        <v>6004</v>
      </c>
      <c r="C373" s="15">
        <v>3.7000000000000002E-3</v>
      </c>
      <c r="D373" s="12"/>
      <c r="E373" s="4"/>
      <c r="F373" s="24"/>
      <c r="G373" s="7"/>
      <c r="H373" s="25"/>
      <c r="I373" s="4"/>
    </row>
    <row r="374" spans="1:9" ht="15.75" hidden="1" outlineLevel="2" x14ac:dyDescent="0.25">
      <c r="A374" s="13">
        <v>45443.999803240738</v>
      </c>
      <c r="B374" s="14">
        <v>4995</v>
      </c>
      <c r="C374" s="15">
        <v>3.7000000000000002E-3</v>
      </c>
      <c r="D374" s="12"/>
      <c r="E374" s="4"/>
      <c r="F374" s="24"/>
      <c r="G374" s="7"/>
      <c r="H374" s="25"/>
      <c r="I374" s="4"/>
    </row>
    <row r="375" spans="1:9" ht="15.75" hidden="1" outlineLevel="2" x14ac:dyDescent="0.25">
      <c r="A375" s="13">
        <v>45473.999803240738</v>
      </c>
      <c r="B375" s="14">
        <v>4727</v>
      </c>
      <c r="C375" s="15">
        <v>3.5000000000000001E-3</v>
      </c>
      <c r="D375" s="12"/>
      <c r="E375" s="4"/>
      <c r="F375" s="24"/>
      <c r="G375" s="7"/>
      <c r="H375" s="25"/>
      <c r="I375" s="4"/>
    </row>
    <row r="376" spans="1:9" ht="15.75" hidden="1" outlineLevel="2" x14ac:dyDescent="0.25">
      <c r="A376" s="13">
        <v>45504.999803240738</v>
      </c>
      <c r="B376" s="14">
        <v>3633</v>
      </c>
      <c r="C376" s="15">
        <v>2.5999999999999999E-3</v>
      </c>
      <c r="D376" s="12"/>
      <c r="E376" s="4"/>
      <c r="F376" s="24"/>
      <c r="G376" s="7"/>
      <c r="H376" s="25"/>
      <c r="I376" s="4"/>
    </row>
    <row r="377" spans="1:9" ht="15.75" hidden="1" outlineLevel="2" x14ac:dyDescent="0.25">
      <c r="A377" s="13">
        <v>45535.999803240738</v>
      </c>
      <c r="B377" s="14">
        <v>4060</v>
      </c>
      <c r="C377" s="15">
        <v>2.7000000000000001E-3</v>
      </c>
      <c r="D377" s="12"/>
      <c r="E377" s="4"/>
      <c r="F377" s="24"/>
      <c r="G377" s="7"/>
      <c r="H377" s="25"/>
      <c r="I377" s="4"/>
    </row>
    <row r="378" spans="1:9" ht="15.75" hidden="1" outlineLevel="2" x14ac:dyDescent="0.25">
      <c r="A378" s="13">
        <v>45565.999803240738</v>
      </c>
      <c r="B378" s="14">
        <v>4220</v>
      </c>
      <c r="C378" s="15">
        <v>2.3999999999999998E-3</v>
      </c>
      <c r="D378" s="12"/>
      <c r="E378" s="4"/>
      <c r="F378" s="24"/>
      <c r="G378" s="7"/>
      <c r="H378" s="25"/>
      <c r="I378" s="4"/>
    </row>
    <row r="379" spans="1:9" ht="15.75" hidden="1" outlineLevel="2" x14ac:dyDescent="0.25">
      <c r="A379" s="13">
        <v>45596.999803240738</v>
      </c>
      <c r="B379" s="14">
        <v>3800</v>
      </c>
      <c r="C379" s="15">
        <v>2.0999999999999999E-3</v>
      </c>
      <c r="D379" s="12"/>
      <c r="E379" s="4"/>
      <c r="F379" s="24"/>
      <c r="G379" s="7"/>
      <c r="H379" s="25"/>
      <c r="I379" s="4"/>
    </row>
    <row r="380" spans="1:9" ht="15.75" hidden="1" outlineLevel="2" x14ac:dyDescent="0.25">
      <c r="A380" s="13">
        <v>45626.999803240738</v>
      </c>
      <c r="B380" s="14">
        <v>3473</v>
      </c>
      <c r="C380" s="15">
        <v>1.9E-3</v>
      </c>
      <c r="D380" s="12"/>
      <c r="E380" s="4"/>
      <c r="F380" s="24"/>
      <c r="G380" s="7"/>
      <c r="H380" s="25"/>
      <c r="I380" s="4"/>
    </row>
    <row r="381" spans="1:9" ht="15.75" hidden="1" outlineLevel="2" x14ac:dyDescent="0.25">
      <c r="A381" s="13">
        <v>45657.999803240738</v>
      </c>
      <c r="B381" s="14">
        <v>3420</v>
      </c>
      <c r="C381" s="15">
        <v>1.9E-3</v>
      </c>
      <c r="D381" s="12"/>
      <c r="E381" s="4"/>
      <c r="F381" s="24"/>
      <c r="G381" s="7"/>
      <c r="H381" s="25"/>
      <c r="I381" s="4"/>
    </row>
    <row r="382" spans="1:9" ht="15.75" hidden="1" outlineLevel="2" x14ac:dyDescent="0.25">
      <c r="A382" s="13">
        <v>45688.999803240738</v>
      </c>
      <c r="B382" s="14">
        <v>3867</v>
      </c>
      <c r="C382" s="15">
        <v>2.2000000000000001E-3</v>
      </c>
      <c r="D382" s="12"/>
      <c r="E382" s="4"/>
      <c r="F382" s="24"/>
      <c r="G382" s="7"/>
      <c r="H382" s="25"/>
      <c r="I382" s="4"/>
    </row>
    <row r="383" spans="1:9" ht="15.75" hidden="1" outlineLevel="2" x14ac:dyDescent="0.25">
      <c r="A383" s="13">
        <v>45716.999803240738</v>
      </c>
      <c r="B383" s="14">
        <v>6079</v>
      </c>
      <c r="C383" s="15">
        <v>3.2000000000000002E-3</v>
      </c>
      <c r="D383" s="12"/>
      <c r="E383" s="4"/>
      <c r="F383" s="24"/>
      <c r="G383" s="7"/>
      <c r="H383" s="25"/>
      <c r="I383" s="4"/>
    </row>
    <row r="384" spans="1:9" ht="15.75" hidden="1" outlineLevel="2" x14ac:dyDescent="0.25">
      <c r="A384" s="13">
        <v>45747.999803240738</v>
      </c>
      <c r="B384" s="14">
        <v>5835</v>
      </c>
      <c r="C384" s="15">
        <v>3.3999999999999998E-3</v>
      </c>
      <c r="D384" s="12"/>
      <c r="E384" s="4"/>
      <c r="F384" s="24"/>
      <c r="G384" s="7"/>
      <c r="H384" s="25"/>
      <c r="I384" s="4"/>
    </row>
    <row r="385" spans="1:9" ht="15.75" hidden="1" outlineLevel="2" x14ac:dyDescent="0.25">
      <c r="A385" s="13">
        <v>45777.999803240738</v>
      </c>
      <c r="B385" s="14">
        <v>4291</v>
      </c>
      <c r="C385" s="15">
        <v>2.7000000000000001E-3</v>
      </c>
      <c r="D385" s="12"/>
      <c r="E385" s="4"/>
      <c r="F385" s="24"/>
      <c r="G385" s="7"/>
      <c r="H385" s="25"/>
      <c r="I385" s="4"/>
    </row>
    <row r="386" spans="1:9" ht="15.75" hidden="1" outlineLevel="2" x14ac:dyDescent="0.25">
      <c r="A386" s="13">
        <v>45808.999803240738</v>
      </c>
      <c r="B386" s="14">
        <v>4476</v>
      </c>
      <c r="C386" s="15">
        <v>2.8E-3</v>
      </c>
      <c r="D386" s="12"/>
      <c r="E386" s="4"/>
      <c r="F386" s="24"/>
      <c r="G386" s="7"/>
      <c r="H386" s="25"/>
      <c r="I386" s="4"/>
    </row>
    <row r="387" spans="1:9" ht="15.75" hidden="1" outlineLevel="2" x14ac:dyDescent="0.25">
      <c r="A387" s="13">
        <v>45838.999803240738</v>
      </c>
      <c r="B387" s="14">
        <v>4004</v>
      </c>
      <c r="C387" s="15">
        <v>2.7000000000000001E-3</v>
      </c>
      <c r="D387" s="12"/>
      <c r="E387" s="4"/>
      <c r="F387" s="24"/>
      <c r="G387" s="7"/>
      <c r="H387" s="25"/>
      <c r="I387" s="4"/>
    </row>
    <row r="388" spans="1:9" ht="15.75" hidden="1" outlineLevel="2" x14ac:dyDescent="0.25">
      <c r="A388" s="13">
        <v>45869.999803240738</v>
      </c>
      <c r="B388" s="14">
        <v>3391</v>
      </c>
      <c r="C388" s="15">
        <v>2.3E-3</v>
      </c>
      <c r="D388" s="12"/>
      <c r="E388" s="4"/>
      <c r="F388" s="24"/>
      <c r="G388" s="7"/>
      <c r="H388" s="25"/>
      <c r="I388" s="4"/>
    </row>
    <row r="389" spans="1:9" ht="15.75" hidden="1" outlineLevel="2" x14ac:dyDescent="0.25">
      <c r="A389" s="13">
        <v>45900.999803240738</v>
      </c>
      <c r="B389" s="14">
        <v>3350</v>
      </c>
      <c r="C389" s="15">
        <v>2E-3</v>
      </c>
      <c r="D389" s="12"/>
      <c r="E389" s="4"/>
      <c r="F389" s="24"/>
      <c r="G389" s="7"/>
      <c r="H389" s="25"/>
      <c r="I389" s="4"/>
    </row>
    <row r="390" spans="1:9" ht="15.75" hidden="1" outlineLevel="2" x14ac:dyDescent="0.25">
      <c r="A390" s="13">
        <v>45930.999803240738</v>
      </c>
      <c r="B390" s="14">
        <v>3493</v>
      </c>
      <c r="C390" s="15">
        <v>2E-3</v>
      </c>
      <c r="D390" s="12"/>
      <c r="E390" s="4"/>
      <c r="F390" s="24"/>
      <c r="G390" s="7"/>
      <c r="H390" s="25"/>
      <c r="I390" s="4"/>
    </row>
    <row r="391" spans="1:9" ht="15.75" hidden="1" outlineLevel="2" x14ac:dyDescent="0.25">
      <c r="A391" s="13">
        <v>45961.999803240738</v>
      </c>
      <c r="B391" s="14">
        <v>3220</v>
      </c>
      <c r="C391" s="15">
        <v>1.8E-3</v>
      </c>
      <c r="D391" s="12"/>
      <c r="E391" s="4"/>
      <c r="F391" s="24"/>
      <c r="G391" s="7"/>
      <c r="H391" s="25"/>
      <c r="I391" s="4"/>
    </row>
    <row r="392" spans="1:9" ht="15.75" hidden="1" outlineLevel="2" x14ac:dyDescent="0.25">
      <c r="A392" s="13">
        <v>45991.999803240738</v>
      </c>
      <c r="B392" s="14">
        <v>2956</v>
      </c>
      <c r="C392" s="15">
        <v>1.6999999999999999E-3</v>
      </c>
      <c r="D392" s="12"/>
      <c r="E392" s="4"/>
      <c r="F392" s="24"/>
      <c r="G392" s="7"/>
      <c r="H392" s="25"/>
      <c r="I392" s="4"/>
    </row>
    <row r="393" spans="1:9" collapsed="1" x14ac:dyDescent="0.25">
      <c r="A393" s="10" t="s">
        <v>3</v>
      </c>
      <c r="B393" s="11">
        <f>AVERAGE(B369:B392)</f>
        <v>4397.208333333333</v>
      </c>
      <c r="C393" s="11"/>
      <c r="D393" s="338">
        <v>1220000</v>
      </c>
      <c r="E393" s="339"/>
      <c r="F393" s="340">
        <f>B394/D393</f>
        <v>4.3251229508196723E-2</v>
      </c>
      <c r="G393" s="333"/>
      <c r="H393" s="341">
        <f>$H$29*(F393/$F$29)</f>
        <v>4.3251229508196723E-2</v>
      </c>
      <c r="I393" s="339">
        <f>D393*H393</f>
        <v>52766.5</v>
      </c>
    </row>
    <row r="394" spans="1:9" x14ac:dyDescent="0.25">
      <c r="A394" s="9" t="s">
        <v>4</v>
      </c>
      <c r="B394" s="3">
        <f>B393*12</f>
        <v>52766.5</v>
      </c>
      <c r="C394" s="3"/>
      <c r="D394" s="338"/>
      <c r="E394" s="339"/>
      <c r="F394" s="340"/>
      <c r="G394" s="333"/>
      <c r="H394" s="341"/>
      <c r="I394" s="339"/>
    </row>
    <row r="395" spans="1:9" x14ac:dyDescent="0.25">
      <c r="A395" s="8" t="s">
        <v>47</v>
      </c>
      <c r="B395" s="8"/>
      <c r="C395" s="22" t="s">
        <v>33</v>
      </c>
      <c r="D395" s="12"/>
      <c r="E395" s="4"/>
      <c r="F395" s="24"/>
      <c r="G395" s="7"/>
      <c r="H395" s="25"/>
      <c r="I395" s="4"/>
    </row>
    <row r="396" spans="1:9" ht="28.5" hidden="1" outlineLevel="2" x14ac:dyDescent="0.25">
      <c r="A396" s="2" t="s">
        <v>1</v>
      </c>
      <c r="B396" s="2" t="s">
        <v>2</v>
      </c>
      <c r="C396" s="2"/>
      <c r="D396" s="12"/>
      <c r="E396" s="4"/>
      <c r="F396" s="24"/>
      <c r="G396" s="7"/>
      <c r="H396" s="25"/>
      <c r="I396" s="4"/>
    </row>
    <row r="397" spans="1:9" ht="15.75" hidden="1" outlineLevel="2" x14ac:dyDescent="0.25">
      <c r="A397" s="13">
        <v>45291.999803240738</v>
      </c>
      <c r="B397" s="14">
        <v>1846</v>
      </c>
      <c r="C397" s="15">
        <v>1.5E-3</v>
      </c>
      <c r="D397" s="12"/>
      <c r="E397" s="4"/>
      <c r="F397" s="24"/>
      <c r="G397" s="7"/>
      <c r="H397" s="25"/>
      <c r="I397" s="4"/>
    </row>
    <row r="398" spans="1:9" ht="15.75" hidden="1" outlineLevel="2" x14ac:dyDescent="0.25">
      <c r="A398" s="13">
        <v>45322.999803240738</v>
      </c>
      <c r="B398" s="14">
        <v>2337</v>
      </c>
      <c r="C398" s="15">
        <v>2E-3</v>
      </c>
      <c r="D398" s="12"/>
      <c r="E398" s="4"/>
      <c r="F398" s="24"/>
      <c r="G398" s="7"/>
      <c r="H398" s="25"/>
      <c r="I398" s="4"/>
    </row>
    <row r="399" spans="1:9" ht="15.75" hidden="1" outlineLevel="2" x14ac:dyDescent="0.25">
      <c r="A399" s="13">
        <v>45351.999803240738</v>
      </c>
      <c r="B399" s="14">
        <v>3287</v>
      </c>
      <c r="C399" s="15">
        <v>2.8E-3</v>
      </c>
      <c r="D399" s="12"/>
      <c r="E399" s="4"/>
      <c r="F399" s="24"/>
      <c r="G399" s="7"/>
      <c r="H399" s="25"/>
      <c r="I399" s="4"/>
    </row>
    <row r="400" spans="1:9" ht="15.75" hidden="1" outlineLevel="2" x14ac:dyDescent="0.25">
      <c r="A400" s="13">
        <v>45382.999803240738</v>
      </c>
      <c r="B400" s="14">
        <v>3973</v>
      </c>
      <c r="C400" s="15">
        <v>3.7000000000000002E-3</v>
      </c>
      <c r="D400" s="12"/>
      <c r="E400" s="4"/>
      <c r="F400" s="24"/>
      <c r="G400" s="7"/>
      <c r="H400" s="25"/>
      <c r="I400" s="4"/>
    </row>
    <row r="401" spans="1:9" ht="15.75" hidden="1" outlineLevel="2" x14ac:dyDescent="0.25">
      <c r="A401" s="13">
        <v>45412.999803240738</v>
      </c>
      <c r="B401" s="14">
        <v>2868</v>
      </c>
      <c r="C401" s="15">
        <v>2.7000000000000001E-3</v>
      </c>
      <c r="D401" s="12"/>
      <c r="E401" s="4"/>
      <c r="F401" s="24"/>
      <c r="G401" s="7"/>
      <c r="H401" s="25"/>
      <c r="I401" s="4"/>
    </row>
    <row r="402" spans="1:9" ht="15.75" hidden="1" outlineLevel="2" x14ac:dyDescent="0.25">
      <c r="A402" s="13">
        <v>45443.999803240738</v>
      </c>
      <c r="B402" s="14">
        <v>3055</v>
      </c>
      <c r="C402" s="15">
        <v>3.3999999999999998E-3</v>
      </c>
      <c r="D402" s="12"/>
      <c r="E402" s="4"/>
      <c r="F402" s="24"/>
      <c r="G402" s="7"/>
      <c r="H402" s="25"/>
      <c r="I402" s="4"/>
    </row>
    <row r="403" spans="1:9" ht="15.75" hidden="1" outlineLevel="2" x14ac:dyDescent="0.25">
      <c r="A403" s="13">
        <v>45473.999803240738</v>
      </c>
      <c r="B403" s="14">
        <v>2315</v>
      </c>
      <c r="C403" s="15">
        <v>2.5999999999999999E-3</v>
      </c>
      <c r="D403" s="12"/>
      <c r="E403" s="4"/>
      <c r="F403" s="24"/>
      <c r="G403" s="7"/>
      <c r="H403" s="25"/>
      <c r="I403" s="4"/>
    </row>
    <row r="404" spans="1:9" ht="15.75" hidden="1" outlineLevel="2" x14ac:dyDescent="0.25">
      <c r="A404" s="13">
        <v>45504.999803240738</v>
      </c>
      <c r="B404" s="14">
        <v>1892</v>
      </c>
      <c r="C404" s="15">
        <v>2.0999999999999999E-3</v>
      </c>
      <c r="D404" s="12"/>
      <c r="E404" s="4"/>
      <c r="F404" s="24"/>
      <c r="G404" s="7"/>
      <c r="H404" s="25"/>
      <c r="I404" s="4"/>
    </row>
    <row r="405" spans="1:9" ht="15.75" hidden="1" outlineLevel="2" x14ac:dyDescent="0.25">
      <c r="A405" s="13">
        <v>45535.999803240738</v>
      </c>
      <c r="B405" s="14">
        <v>1852</v>
      </c>
      <c r="C405" s="15">
        <v>1.9E-3</v>
      </c>
      <c r="D405" s="12"/>
      <c r="E405" s="4"/>
      <c r="F405" s="24"/>
      <c r="G405" s="7"/>
      <c r="H405" s="25"/>
      <c r="I405" s="4"/>
    </row>
    <row r="406" spans="1:9" ht="15.75" hidden="1" outlineLevel="2" x14ac:dyDescent="0.25">
      <c r="A406" s="13">
        <v>45565.999803240738</v>
      </c>
      <c r="B406" s="14">
        <v>2104</v>
      </c>
      <c r="C406" s="15">
        <v>1.8E-3</v>
      </c>
      <c r="D406" s="12"/>
      <c r="E406" s="4"/>
      <c r="F406" s="24"/>
      <c r="G406" s="7"/>
      <c r="H406" s="25"/>
      <c r="I406" s="4"/>
    </row>
    <row r="407" spans="1:9" ht="15.75" hidden="1" outlineLevel="2" x14ac:dyDescent="0.25">
      <c r="A407" s="13">
        <v>45596.999803240738</v>
      </c>
      <c r="B407" s="14">
        <v>1962</v>
      </c>
      <c r="C407" s="15">
        <v>1.6999999999999999E-3</v>
      </c>
      <c r="D407" s="12"/>
      <c r="E407" s="4"/>
      <c r="F407" s="24"/>
      <c r="G407" s="7"/>
      <c r="H407" s="25"/>
      <c r="I407" s="4"/>
    </row>
    <row r="408" spans="1:9" ht="15.75" hidden="1" outlineLevel="2" x14ac:dyDescent="0.25">
      <c r="A408" s="13">
        <v>45626.999803240738</v>
      </c>
      <c r="B408" s="14">
        <v>1777</v>
      </c>
      <c r="C408" s="15">
        <v>1.5E-3</v>
      </c>
      <c r="D408" s="12"/>
      <c r="E408" s="4"/>
      <c r="F408" s="24"/>
      <c r="G408" s="7"/>
      <c r="H408" s="25"/>
      <c r="I408" s="4"/>
    </row>
    <row r="409" spans="1:9" ht="15.75" hidden="1" outlineLevel="2" x14ac:dyDescent="0.25">
      <c r="A409" s="13">
        <v>45657.999803240738</v>
      </c>
      <c r="B409" s="14">
        <v>1523</v>
      </c>
      <c r="C409" s="15">
        <v>1.2999999999999999E-3</v>
      </c>
      <c r="D409" s="12"/>
      <c r="E409" s="4"/>
      <c r="F409" s="24"/>
      <c r="G409" s="7"/>
      <c r="H409" s="25"/>
      <c r="I409" s="4"/>
    </row>
    <row r="410" spans="1:9" ht="15.75" hidden="1" outlineLevel="2" x14ac:dyDescent="0.25">
      <c r="A410" s="13">
        <v>45688.999803240738</v>
      </c>
      <c r="B410" s="14">
        <v>2102</v>
      </c>
      <c r="C410" s="15">
        <v>1.8E-3</v>
      </c>
      <c r="D410" s="12"/>
      <c r="E410" s="4"/>
      <c r="F410" s="24"/>
      <c r="G410" s="7"/>
      <c r="H410" s="25"/>
      <c r="I410" s="4"/>
    </row>
    <row r="411" spans="1:9" ht="15.75" hidden="1" outlineLevel="2" x14ac:dyDescent="0.25">
      <c r="A411" s="13">
        <v>45716.999803240738</v>
      </c>
      <c r="B411" s="14">
        <v>2646</v>
      </c>
      <c r="C411" s="15">
        <v>2.2000000000000001E-3</v>
      </c>
      <c r="D411" s="12"/>
      <c r="E411" s="4"/>
      <c r="F411" s="24"/>
      <c r="G411" s="7"/>
      <c r="H411" s="25"/>
      <c r="I411" s="4"/>
    </row>
    <row r="412" spans="1:9" ht="15.75" hidden="1" outlineLevel="2" x14ac:dyDescent="0.25">
      <c r="A412" s="13">
        <v>45747.999803240738</v>
      </c>
      <c r="B412" s="14">
        <v>2579</v>
      </c>
      <c r="C412" s="15">
        <v>2.3E-3</v>
      </c>
      <c r="D412" s="12"/>
      <c r="E412" s="4"/>
      <c r="F412" s="24"/>
      <c r="G412" s="7"/>
      <c r="H412" s="25"/>
      <c r="I412" s="4"/>
    </row>
    <row r="413" spans="1:9" ht="15.75" hidden="1" outlineLevel="2" x14ac:dyDescent="0.25">
      <c r="A413" s="13">
        <v>45777.999803240738</v>
      </c>
      <c r="B413" s="14">
        <v>2295</v>
      </c>
      <c r="C413" s="15">
        <v>2.3E-3</v>
      </c>
      <c r="D413" s="12"/>
      <c r="E413" s="4"/>
      <c r="F413" s="24"/>
      <c r="G413" s="7"/>
      <c r="H413" s="25"/>
      <c r="I413" s="4"/>
    </row>
    <row r="414" spans="1:9" ht="15.75" hidden="1" outlineLevel="2" x14ac:dyDescent="0.25">
      <c r="A414" s="13">
        <v>45808.999803240738</v>
      </c>
      <c r="B414" s="14">
        <v>2487</v>
      </c>
      <c r="C414" s="15">
        <v>2.5000000000000001E-3</v>
      </c>
      <c r="D414" s="12"/>
      <c r="E414" s="4"/>
      <c r="F414" s="24"/>
      <c r="G414" s="7"/>
      <c r="H414" s="25"/>
      <c r="I414" s="4"/>
    </row>
    <row r="415" spans="1:9" ht="15.75" hidden="1" outlineLevel="2" x14ac:dyDescent="0.25">
      <c r="A415" s="13">
        <v>45838.999803240738</v>
      </c>
      <c r="B415" s="14">
        <v>1976</v>
      </c>
      <c r="C415" s="15">
        <v>2E-3</v>
      </c>
      <c r="D415" s="12"/>
      <c r="E415" s="4"/>
      <c r="F415" s="24"/>
      <c r="G415" s="7"/>
      <c r="H415" s="25"/>
      <c r="I415" s="4"/>
    </row>
    <row r="416" spans="1:9" ht="15.75" hidden="1" outlineLevel="2" x14ac:dyDescent="0.25">
      <c r="A416" s="13">
        <v>45869.999803240738</v>
      </c>
      <c r="B416" s="14">
        <v>1855</v>
      </c>
      <c r="C416" s="15">
        <v>1.9E-3</v>
      </c>
      <c r="D416" s="12"/>
      <c r="E416" s="4"/>
      <c r="F416" s="24"/>
      <c r="G416" s="7"/>
      <c r="H416" s="25"/>
      <c r="I416" s="4"/>
    </row>
    <row r="417" spans="1:9" ht="15.75" hidden="1" outlineLevel="2" x14ac:dyDescent="0.25">
      <c r="A417" s="13">
        <v>45900.999803240738</v>
      </c>
      <c r="B417" s="14">
        <v>1868</v>
      </c>
      <c r="C417" s="15">
        <v>1.6000000000000001E-3</v>
      </c>
      <c r="D417" s="12"/>
      <c r="E417" s="4"/>
      <c r="F417" s="24"/>
      <c r="G417" s="7"/>
      <c r="H417" s="25"/>
      <c r="I417" s="4"/>
    </row>
    <row r="418" spans="1:9" ht="15.75" hidden="1" outlineLevel="2" x14ac:dyDescent="0.25">
      <c r="A418" s="13">
        <v>45930.999803240738</v>
      </c>
      <c r="B418" s="14">
        <v>1761</v>
      </c>
      <c r="C418" s="15">
        <v>1.5E-3</v>
      </c>
      <c r="D418" s="12"/>
      <c r="E418" s="4"/>
      <c r="F418" s="24"/>
      <c r="G418" s="7"/>
      <c r="H418" s="25"/>
      <c r="I418" s="4"/>
    </row>
    <row r="419" spans="1:9" ht="15.75" hidden="1" outlineLevel="2" x14ac:dyDescent="0.25">
      <c r="A419" s="13">
        <v>45961.999803240738</v>
      </c>
      <c r="B419" s="14">
        <v>1678</v>
      </c>
      <c r="C419" s="15">
        <v>1.4E-3</v>
      </c>
      <c r="D419" s="12"/>
      <c r="E419" s="4"/>
      <c r="F419" s="24"/>
      <c r="G419" s="7"/>
      <c r="H419" s="25"/>
      <c r="I419" s="4"/>
    </row>
    <row r="420" spans="1:9" ht="15.75" hidden="1" outlineLevel="2" x14ac:dyDescent="0.25">
      <c r="A420" s="13">
        <v>45991.999803240738</v>
      </c>
      <c r="B420" s="14">
        <v>1374</v>
      </c>
      <c r="C420" s="15">
        <v>1.1999999999999999E-3</v>
      </c>
      <c r="D420" s="12"/>
      <c r="E420" s="4"/>
      <c r="F420" s="24"/>
      <c r="G420" s="7"/>
      <c r="H420" s="25"/>
      <c r="I420" s="4"/>
    </row>
    <row r="421" spans="1:9" collapsed="1" x14ac:dyDescent="0.25">
      <c r="A421" s="10" t="s">
        <v>3</v>
      </c>
      <c r="B421" s="11">
        <f>AVERAGE(B397:B420)</f>
        <v>2225.5</v>
      </c>
      <c r="C421" s="11"/>
      <c r="D421" s="338">
        <v>1190000</v>
      </c>
      <c r="E421" s="339"/>
      <c r="F421" s="340">
        <f>B422/D421</f>
        <v>2.2442016806722691E-2</v>
      </c>
      <c r="G421" s="333"/>
      <c r="H421" s="341">
        <f>$H$29*(F421/$F$29)</f>
        <v>2.2442016806722691E-2</v>
      </c>
      <c r="I421" s="339">
        <f>D421*H421</f>
        <v>26706.000000000004</v>
      </c>
    </row>
    <row r="422" spans="1:9" x14ac:dyDescent="0.25">
      <c r="A422" s="9" t="s">
        <v>4</v>
      </c>
      <c r="B422" s="3">
        <f>B421*12</f>
        <v>26706</v>
      </c>
      <c r="C422" s="3"/>
      <c r="D422" s="338"/>
      <c r="E422" s="339"/>
      <c r="F422" s="340"/>
      <c r="G422" s="333"/>
      <c r="H422" s="341"/>
      <c r="I422" s="339"/>
    </row>
    <row r="423" spans="1:9" x14ac:dyDescent="0.25">
      <c r="A423" s="8" t="s">
        <v>48</v>
      </c>
      <c r="B423" s="8"/>
      <c r="C423" s="22" t="s">
        <v>33</v>
      </c>
      <c r="D423" s="12"/>
      <c r="E423" s="4"/>
      <c r="F423" s="24"/>
      <c r="G423" s="7"/>
      <c r="H423" s="25"/>
      <c r="I423" s="4"/>
    </row>
    <row r="424" spans="1:9" ht="28.5" hidden="1" outlineLevel="2" x14ac:dyDescent="0.25">
      <c r="A424" s="2" t="s">
        <v>1</v>
      </c>
      <c r="B424" s="2" t="s">
        <v>2</v>
      </c>
      <c r="C424" s="2"/>
      <c r="D424" s="12"/>
      <c r="E424" s="4"/>
      <c r="F424" s="24"/>
      <c r="G424" s="7"/>
      <c r="H424" s="25"/>
      <c r="I424" s="4"/>
    </row>
    <row r="425" spans="1:9" ht="15.75" hidden="1" outlineLevel="2" x14ac:dyDescent="0.25">
      <c r="A425" s="13">
        <v>45291.999803240738</v>
      </c>
      <c r="B425" s="14">
        <v>1063</v>
      </c>
      <c r="C425" s="15">
        <v>9.7000000000000005E-4</v>
      </c>
      <c r="D425" s="12"/>
      <c r="E425" s="4"/>
      <c r="F425" s="24"/>
      <c r="G425" s="7"/>
      <c r="H425" s="25"/>
      <c r="I425" s="4"/>
    </row>
    <row r="426" spans="1:9" ht="15.75" hidden="1" outlineLevel="2" x14ac:dyDescent="0.25">
      <c r="A426" s="13">
        <v>45322.999803240738</v>
      </c>
      <c r="B426" s="14">
        <v>1245</v>
      </c>
      <c r="C426" s="15">
        <v>1.1800000000000001E-3</v>
      </c>
      <c r="D426" s="12"/>
      <c r="E426" s="4"/>
      <c r="F426" s="24"/>
      <c r="G426" s="7"/>
      <c r="H426" s="25"/>
      <c r="I426" s="4"/>
    </row>
    <row r="427" spans="1:9" ht="15.75" hidden="1" outlineLevel="2" x14ac:dyDescent="0.25">
      <c r="A427" s="13">
        <v>45351.999803240738</v>
      </c>
      <c r="B427" s="14">
        <v>1729</v>
      </c>
      <c r="C427" s="15">
        <v>1.49E-3</v>
      </c>
      <c r="D427" s="12"/>
      <c r="E427" s="4"/>
      <c r="F427" s="24"/>
      <c r="G427" s="7"/>
      <c r="H427" s="25"/>
      <c r="I427" s="4"/>
    </row>
    <row r="428" spans="1:9" ht="15.75" hidden="1" outlineLevel="2" x14ac:dyDescent="0.25">
      <c r="A428" s="13">
        <v>45382.999803240738</v>
      </c>
      <c r="B428" s="14">
        <v>2187</v>
      </c>
      <c r="C428" s="15">
        <v>1.97E-3</v>
      </c>
      <c r="D428" s="12"/>
      <c r="E428" s="4"/>
      <c r="F428" s="24"/>
      <c r="G428" s="7"/>
      <c r="H428" s="25"/>
      <c r="I428" s="4"/>
    </row>
    <row r="429" spans="1:9" ht="15.75" hidden="1" outlineLevel="2" x14ac:dyDescent="0.25">
      <c r="A429" s="13">
        <v>45412.999803240738</v>
      </c>
      <c r="B429" s="14">
        <v>2133</v>
      </c>
      <c r="C429" s="15">
        <v>2.0799999999999998E-3</v>
      </c>
      <c r="D429" s="12"/>
      <c r="E429" s="4"/>
      <c r="F429" s="24"/>
      <c r="G429" s="7"/>
      <c r="H429" s="25"/>
      <c r="I429" s="4"/>
    </row>
    <row r="430" spans="1:9" ht="15.75" hidden="1" outlineLevel="2" x14ac:dyDescent="0.25">
      <c r="A430" s="13">
        <v>45443.999803240738</v>
      </c>
      <c r="B430" s="14">
        <v>1859</v>
      </c>
      <c r="C430" s="15">
        <v>2.2599999999999999E-3</v>
      </c>
      <c r="D430" s="12"/>
      <c r="E430" s="4"/>
      <c r="F430" s="24"/>
      <c r="G430" s="7"/>
      <c r="H430" s="25"/>
      <c r="I430" s="4"/>
    </row>
    <row r="431" spans="1:9" ht="15.75" hidden="1" outlineLevel="2" x14ac:dyDescent="0.25">
      <c r="A431" s="13">
        <v>45473.999803240738</v>
      </c>
      <c r="B431" s="14">
        <v>1599</v>
      </c>
      <c r="C431" s="15">
        <v>2.0699999999999998E-3</v>
      </c>
      <c r="D431" s="12"/>
      <c r="E431" s="4"/>
      <c r="F431" s="24"/>
      <c r="G431" s="7"/>
      <c r="H431" s="25"/>
      <c r="I431" s="4"/>
    </row>
    <row r="432" spans="1:9" ht="15.75" hidden="1" outlineLevel="2" x14ac:dyDescent="0.25">
      <c r="A432" s="13">
        <v>45504.999803240738</v>
      </c>
      <c r="B432" s="14">
        <v>1391</v>
      </c>
      <c r="C432" s="15">
        <v>1.7700000000000001E-3</v>
      </c>
      <c r="D432" s="12"/>
      <c r="E432" s="4"/>
      <c r="F432" s="24"/>
      <c r="G432" s="7"/>
      <c r="H432" s="25"/>
      <c r="I432" s="4"/>
    </row>
    <row r="433" spans="1:9" ht="15.75" hidden="1" outlineLevel="2" x14ac:dyDescent="0.25">
      <c r="A433" s="13">
        <v>45535.999803240738</v>
      </c>
      <c r="B433" s="14">
        <v>1068</v>
      </c>
      <c r="C433" s="15">
        <v>1.1900000000000001E-3</v>
      </c>
      <c r="D433" s="12"/>
      <c r="E433" s="4"/>
      <c r="F433" s="24"/>
      <c r="G433" s="7"/>
      <c r="H433" s="25"/>
      <c r="I433" s="4"/>
    </row>
    <row r="434" spans="1:9" ht="15.75" hidden="1" outlineLevel="2" x14ac:dyDescent="0.25">
      <c r="A434" s="13">
        <v>45565.999803240738</v>
      </c>
      <c r="B434" s="14">
        <v>1205</v>
      </c>
      <c r="C434" s="15">
        <v>1.15E-3</v>
      </c>
      <c r="D434" s="12"/>
      <c r="E434" s="4"/>
      <c r="F434" s="24"/>
      <c r="G434" s="7"/>
      <c r="H434" s="25"/>
      <c r="I434" s="4"/>
    </row>
    <row r="435" spans="1:9" ht="15.75" hidden="1" outlineLevel="2" x14ac:dyDescent="0.25">
      <c r="A435" s="13">
        <v>45596.999803240738</v>
      </c>
      <c r="B435" s="14">
        <v>1254</v>
      </c>
      <c r="C435" s="15">
        <v>1.1900000000000001E-3</v>
      </c>
      <c r="D435" s="12"/>
      <c r="E435" s="4"/>
      <c r="F435" s="24"/>
      <c r="G435" s="7"/>
      <c r="H435" s="25"/>
      <c r="I435" s="4"/>
    </row>
    <row r="436" spans="1:9" ht="15.75" hidden="1" outlineLevel="2" x14ac:dyDescent="0.25">
      <c r="A436" s="13">
        <v>45626.999803240738</v>
      </c>
      <c r="B436" s="14">
        <v>1204</v>
      </c>
      <c r="C436" s="15">
        <v>1.1000000000000001E-3</v>
      </c>
      <c r="D436" s="12"/>
      <c r="E436" s="4"/>
      <c r="F436" s="24"/>
      <c r="G436" s="7"/>
      <c r="H436" s="25"/>
      <c r="I436" s="4"/>
    </row>
    <row r="437" spans="1:9" ht="15.75" hidden="1" outlineLevel="2" x14ac:dyDescent="0.25">
      <c r="A437" s="13">
        <v>45657.999803240738</v>
      </c>
      <c r="B437" s="14">
        <v>1014</v>
      </c>
      <c r="C437" s="15">
        <v>9.7000000000000005E-4</v>
      </c>
      <c r="D437" s="12"/>
      <c r="E437" s="4"/>
      <c r="F437" s="24"/>
      <c r="G437" s="7"/>
      <c r="H437" s="25"/>
      <c r="I437" s="4"/>
    </row>
    <row r="438" spans="1:9" ht="15.75" hidden="1" outlineLevel="2" x14ac:dyDescent="0.25">
      <c r="A438" s="13">
        <v>45688.999803240738</v>
      </c>
      <c r="B438" s="14">
        <v>1116</v>
      </c>
      <c r="C438" s="15">
        <v>1.08E-3</v>
      </c>
      <c r="D438" s="12"/>
      <c r="E438" s="4"/>
      <c r="F438" s="24"/>
      <c r="G438" s="7"/>
      <c r="H438" s="25"/>
      <c r="I438" s="4"/>
    </row>
    <row r="439" spans="1:9" ht="15.75" hidden="1" outlineLevel="2" x14ac:dyDescent="0.25">
      <c r="A439" s="13">
        <v>45716.999803240738</v>
      </c>
      <c r="B439" s="14">
        <v>1579</v>
      </c>
      <c r="C439" s="15">
        <v>1.4599999999999999E-3</v>
      </c>
      <c r="D439" s="12"/>
      <c r="E439" s="4"/>
      <c r="F439" s="24"/>
      <c r="G439" s="7"/>
      <c r="H439" s="25"/>
      <c r="I439" s="4"/>
    </row>
    <row r="440" spans="1:9" ht="15.75" hidden="1" outlineLevel="2" x14ac:dyDescent="0.25">
      <c r="A440" s="13">
        <v>45747.999803240738</v>
      </c>
      <c r="B440" s="14">
        <v>1886</v>
      </c>
      <c r="C440" s="15">
        <v>1.8400000000000001E-3</v>
      </c>
      <c r="D440" s="12"/>
      <c r="E440" s="4"/>
      <c r="F440" s="24"/>
      <c r="G440" s="7"/>
      <c r="H440" s="25"/>
      <c r="I440" s="4"/>
    </row>
    <row r="441" spans="1:9" ht="15.75" hidden="1" outlineLevel="2" x14ac:dyDescent="0.25">
      <c r="A441" s="13">
        <v>45777.999803240738</v>
      </c>
      <c r="B441" s="14">
        <v>1837</v>
      </c>
      <c r="C441" s="15">
        <v>1.9300000000000001E-3</v>
      </c>
      <c r="D441" s="12"/>
      <c r="E441" s="4"/>
      <c r="F441" s="24"/>
      <c r="G441" s="7"/>
      <c r="H441" s="25"/>
      <c r="I441" s="4"/>
    </row>
    <row r="442" spans="1:9" ht="15.75" hidden="1" outlineLevel="2" x14ac:dyDescent="0.25">
      <c r="A442" s="13">
        <v>45808.999803240738</v>
      </c>
      <c r="B442" s="14">
        <v>2075</v>
      </c>
      <c r="C442" s="15">
        <v>2.32E-3</v>
      </c>
      <c r="D442" s="12"/>
      <c r="E442" s="4"/>
      <c r="F442" s="24"/>
      <c r="G442" s="7"/>
      <c r="H442" s="25"/>
      <c r="I442" s="4"/>
    </row>
    <row r="443" spans="1:9" ht="15.75" hidden="1" outlineLevel="2" x14ac:dyDescent="0.25">
      <c r="A443" s="13">
        <v>45838.999803240738</v>
      </c>
      <c r="B443" s="14">
        <v>1600</v>
      </c>
      <c r="C443" s="15">
        <v>1.8400000000000001E-3</v>
      </c>
      <c r="D443" s="12"/>
      <c r="E443" s="4"/>
      <c r="F443" s="24"/>
      <c r="G443" s="7"/>
      <c r="H443" s="25"/>
      <c r="I443" s="4"/>
    </row>
    <row r="444" spans="1:9" ht="15.75" hidden="1" outlineLevel="2" x14ac:dyDescent="0.25">
      <c r="A444" s="13">
        <v>45869.999803240738</v>
      </c>
      <c r="B444" s="14">
        <v>1503</v>
      </c>
      <c r="C444" s="15">
        <v>1.72E-3</v>
      </c>
      <c r="D444" s="12"/>
      <c r="E444" s="4"/>
      <c r="F444" s="24"/>
      <c r="G444" s="7"/>
      <c r="H444" s="25"/>
      <c r="I444" s="4"/>
    </row>
    <row r="445" spans="1:9" ht="15.75" hidden="1" outlineLevel="2" x14ac:dyDescent="0.25">
      <c r="A445" s="13">
        <v>45900.999803240738</v>
      </c>
      <c r="B445" s="14">
        <v>1082</v>
      </c>
      <c r="C445" s="15">
        <v>1.0300000000000001E-3</v>
      </c>
      <c r="D445" s="12"/>
      <c r="E445" s="4"/>
      <c r="F445" s="24"/>
      <c r="G445" s="7"/>
      <c r="H445" s="25"/>
      <c r="I445" s="4"/>
    </row>
    <row r="446" spans="1:9" ht="15.75" hidden="1" outlineLevel="2" x14ac:dyDescent="0.25">
      <c r="A446" s="13">
        <v>45930.999803240738</v>
      </c>
      <c r="B446" s="14">
        <v>1166</v>
      </c>
      <c r="C446" s="15">
        <v>1.0499999999999999E-3</v>
      </c>
      <c r="D446" s="12"/>
      <c r="E446" s="4"/>
      <c r="F446" s="24"/>
      <c r="G446" s="7"/>
      <c r="H446" s="25"/>
      <c r="I446" s="4"/>
    </row>
    <row r="447" spans="1:9" ht="15.75" hidden="1" outlineLevel="2" x14ac:dyDescent="0.25">
      <c r="A447" s="13">
        <v>45961.999803240738</v>
      </c>
      <c r="B447" s="14">
        <v>1226</v>
      </c>
      <c r="C447" s="15">
        <v>1.06E-3</v>
      </c>
      <c r="D447" s="12"/>
      <c r="E447" s="4"/>
      <c r="F447" s="24"/>
      <c r="G447" s="7"/>
      <c r="H447" s="25"/>
      <c r="I447" s="4"/>
    </row>
    <row r="448" spans="1:9" ht="15.75" hidden="1" outlineLevel="2" x14ac:dyDescent="0.25">
      <c r="A448" s="13">
        <v>45991.999803240738</v>
      </c>
      <c r="B448" s="14">
        <v>895</v>
      </c>
      <c r="C448" s="15">
        <v>8.1999999999999998E-4</v>
      </c>
      <c r="D448" s="12"/>
      <c r="E448" s="4"/>
      <c r="F448" s="24"/>
      <c r="G448" s="7"/>
      <c r="H448" s="25"/>
      <c r="I448" s="4"/>
    </row>
    <row r="449" spans="1:9" collapsed="1" x14ac:dyDescent="0.25">
      <c r="A449" s="10" t="s">
        <v>3</v>
      </c>
      <c r="B449" s="11">
        <f>AVERAGE(B425:B448)</f>
        <v>1454.8333333333333</v>
      </c>
      <c r="C449" s="11"/>
      <c r="D449" s="338">
        <v>1190000</v>
      </c>
      <c r="E449" s="339"/>
      <c r="F449" s="340">
        <f>B450/D449</f>
        <v>1.4670588235294118E-2</v>
      </c>
      <c r="G449" s="333"/>
      <c r="H449" s="341">
        <f>$H$29*(F449/$F$29)</f>
        <v>1.4670588235294118E-2</v>
      </c>
      <c r="I449" s="339">
        <f>D449*H449</f>
        <v>17458</v>
      </c>
    </row>
    <row r="450" spans="1:9" x14ac:dyDescent="0.25">
      <c r="A450" s="9" t="s">
        <v>4</v>
      </c>
      <c r="B450" s="3">
        <f>B449*12</f>
        <v>17458</v>
      </c>
      <c r="C450" s="3"/>
      <c r="D450" s="338"/>
      <c r="E450" s="339"/>
      <c r="F450" s="340"/>
      <c r="G450" s="333"/>
      <c r="H450" s="341"/>
      <c r="I450" s="339"/>
    </row>
    <row r="451" spans="1:9" x14ac:dyDescent="0.25">
      <c r="A451" s="8" t="s">
        <v>49</v>
      </c>
      <c r="B451" s="8"/>
      <c r="C451" s="22" t="s">
        <v>33</v>
      </c>
      <c r="D451" s="12"/>
      <c r="E451" s="4"/>
      <c r="F451" s="24"/>
      <c r="G451" s="7"/>
      <c r="H451" s="25"/>
      <c r="I451" s="4"/>
    </row>
    <row r="452" spans="1:9" ht="28.5" hidden="1" outlineLevel="2" x14ac:dyDescent="0.25">
      <c r="A452" s="2" t="s">
        <v>1</v>
      </c>
      <c r="B452" s="2" t="s">
        <v>2</v>
      </c>
      <c r="C452" s="2"/>
      <c r="D452" s="12"/>
      <c r="E452" s="4"/>
      <c r="F452" s="24"/>
      <c r="G452" s="7"/>
      <c r="H452" s="25"/>
      <c r="I452" s="4"/>
    </row>
    <row r="453" spans="1:9" ht="15.75" hidden="1" outlineLevel="2" x14ac:dyDescent="0.25">
      <c r="A453" s="13">
        <v>45291.999803240738</v>
      </c>
      <c r="B453" s="14">
        <v>2105</v>
      </c>
      <c r="C453" s="15">
        <v>1.6999999999999999E-3</v>
      </c>
      <c r="D453" s="12"/>
      <c r="E453" s="4"/>
      <c r="F453" s="24"/>
      <c r="G453" s="7"/>
      <c r="H453" s="25"/>
      <c r="I453" s="4"/>
    </row>
    <row r="454" spans="1:9" ht="15.75" hidden="1" outlineLevel="2" x14ac:dyDescent="0.25">
      <c r="A454" s="13">
        <v>45322.999803240738</v>
      </c>
      <c r="B454" s="14">
        <v>2718</v>
      </c>
      <c r="C454" s="15">
        <v>2.3999999999999998E-3</v>
      </c>
      <c r="D454" s="12"/>
      <c r="E454" s="4"/>
      <c r="F454" s="24"/>
      <c r="G454" s="7"/>
      <c r="H454" s="25"/>
      <c r="I454" s="4"/>
    </row>
    <row r="455" spans="1:9" ht="15.75" hidden="1" outlineLevel="2" x14ac:dyDescent="0.25">
      <c r="A455" s="13">
        <v>45351.999803240738</v>
      </c>
      <c r="B455" s="14">
        <v>3967</v>
      </c>
      <c r="C455" s="15">
        <v>3.3E-3</v>
      </c>
      <c r="D455" s="12"/>
      <c r="E455" s="4"/>
      <c r="F455" s="24"/>
      <c r="G455" s="7"/>
      <c r="H455" s="25"/>
      <c r="I455" s="4"/>
    </row>
    <row r="456" spans="1:9" ht="15.75" hidden="1" outlineLevel="2" x14ac:dyDescent="0.25">
      <c r="A456" s="13">
        <v>45382.999803240738</v>
      </c>
      <c r="B456" s="14">
        <v>4542</v>
      </c>
      <c r="C456" s="15">
        <v>4.1000000000000003E-3</v>
      </c>
      <c r="D456" s="12"/>
      <c r="E456" s="4"/>
      <c r="F456" s="24"/>
      <c r="G456" s="7"/>
      <c r="H456" s="25"/>
      <c r="I456" s="4"/>
    </row>
    <row r="457" spans="1:9" ht="15.75" hidden="1" outlineLevel="2" x14ac:dyDescent="0.25">
      <c r="A457" s="13">
        <v>45412.999803240738</v>
      </c>
      <c r="B457" s="14">
        <v>3847</v>
      </c>
      <c r="C457" s="15">
        <v>3.5000000000000001E-3</v>
      </c>
      <c r="D457" s="12"/>
      <c r="E457" s="4"/>
      <c r="F457" s="24"/>
      <c r="G457" s="7"/>
      <c r="H457" s="25"/>
      <c r="I457" s="4"/>
    </row>
    <row r="458" spans="1:9" ht="15.75" hidden="1" outlineLevel="2" x14ac:dyDescent="0.25">
      <c r="A458" s="13">
        <v>45443.999803240738</v>
      </c>
      <c r="B458" s="14">
        <v>3711</v>
      </c>
      <c r="C458" s="15">
        <v>3.8999999999999998E-3</v>
      </c>
      <c r="D458" s="12"/>
      <c r="E458" s="4"/>
      <c r="F458" s="24"/>
      <c r="G458" s="7"/>
      <c r="H458" s="25"/>
      <c r="I458" s="4"/>
    </row>
    <row r="459" spans="1:9" ht="15.75" hidden="1" outlineLevel="2" x14ac:dyDescent="0.25">
      <c r="A459" s="13">
        <v>45473.999803240738</v>
      </c>
      <c r="B459" s="14">
        <v>3093</v>
      </c>
      <c r="C459" s="15">
        <v>3.3E-3</v>
      </c>
      <c r="D459" s="12"/>
      <c r="E459" s="4"/>
      <c r="F459" s="24"/>
      <c r="G459" s="7"/>
      <c r="H459" s="25"/>
      <c r="I459" s="4"/>
    </row>
    <row r="460" spans="1:9" ht="15.75" hidden="1" outlineLevel="2" x14ac:dyDescent="0.25">
      <c r="A460" s="13">
        <v>45504.999803240738</v>
      </c>
      <c r="B460" s="14">
        <v>2504</v>
      </c>
      <c r="C460" s="15">
        <v>2.5999999999999999E-3</v>
      </c>
      <c r="D460" s="12"/>
      <c r="E460" s="4"/>
      <c r="F460" s="24"/>
      <c r="G460" s="7"/>
      <c r="H460" s="25"/>
      <c r="I460" s="4"/>
    </row>
    <row r="461" spans="1:9" ht="15.75" hidden="1" outlineLevel="2" x14ac:dyDescent="0.25">
      <c r="A461" s="13">
        <v>45535.999803240738</v>
      </c>
      <c r="B461" s="14">
        <v>2235</v>
      </c>
      <c r="C461" s="15">
        <v>2.2000000000000001E-3</v>
      </c>
      <c r="D461" s="12"/>
      <c r="E461" s="4"/>
      <c r="F461" s="24"/>
      <c r="G461" s="7"/>
      <c r="H461" s="25"/>
      <c r="I461" s="4"/>
    </row>
    <row r="462" spans="1:9" ht="15.75" hidden="1" outlineLevel="2" x14ac:dyDescent="0.25">
      <c r="A462" s="13">
        <v>45565.999803240738</v>
      </c>
      <c r="B462" s="14">
        <v>2669</v>
      </c>
      <c r="C462" s="15">
        <v>2.2000000000000001E-3</v>
      </c>
      <c r="D462" s="12"/>
      <c r="E462" s="4"/>
      <c r="F462" s="24"/>
      <c r="G462" s="7"/>
      <c r="H462" s="25"/>
      <c r="I462" s="4"/>
    </row>
    <row r="463" spans="1:9" ht="15.75" hidden="1" outlineLevel="2" x14ac:dyDescent="0.25">
      <c r="A463" s="13">
        <v>45596.999803240738</v>
      </c>
      <c r="B463" s="14">
        <v>2465</v>
      </c>
      <c r="C463" s="15">
        <v>2E-3</v>
      </c>
      <c r="D463" s="12"/>
      <c r="E463" s="4"/>
      <c r="F463" s="24"/>
      <c r="G463" s="7"/>
      <c r="H463" s="25"/>
      <c r="I463" s="4"/>
    </row>
    <row r="464" spans="1:9" ht="15.75" hidden="1" outlineLevel="2" x14ac:dyDescent="0.25">
      <c r="A464" s="13">
        <v>45626.999803240738</v>
      </c>
      <c r="B464" s="14">
        <v>1926</v>
      </c>
      <c r="C464" s="15">
        <v>1.5E-3</v>
      </c>
      <c r="D464" s="12"/>
      <c r="E464" s="4"/>
      <c r="F464" s="24"/>
      <c r="G464" s="7"/>
      <c r="H464" s="25"/>
      <c r="I464" s="4"/>
    </row>
    <row r="465" spans="1:9" ht="15.75" hidden="1" outlineLevel="2" x14ac:dyDescent="0.25">
      <c r="A465" s="13">
        <v>45657.999803240738</v>
      </c>
      <c r="B465" s="14">
        <v>1947</v>
      </c>
      <c r="C465" s="15">
        <v>1.5E-3</v>
      </c>
      <c r="D465" s="12"/>
      <c r="E465" s="4"/>
      <c r="F465" s="24"/>
      <c r="G465" s="7"/>
      <c r="H465" s="25"/>
      <c r="I465" s="4"/>
    </row>
    <row r="466" spans="1:9" ht="15.75" hidden="1" outlineLevel="2" x14ac:dyDescent="0.25">
      <c r="A466" s="13">
        <v>45688.999803240738</v>
      </c>
      <c r="B466" s="14">
        <v>2242</v>
      </c>
      <c r="C466" s="15">
        <v>1.9E-3</v>
      </c>
      <c r="D466" s="12"/>
      <c r="E466" s="4"/>
      <c r="F466" s="24"/>
      <c r="G466" s="7"/>
      <c r="H466" s="25"/>
      <c r="I466" s="4"/>
    </row>
    <row r="467" spans="1:9" ht="15.75" hidden="1" outlineLevel="2" x14ac:dyDescent="0.25">
      <c r="A467" s="13">
        <v>45716.999803240738</v>
      </c>
      <c r="B467" s="14">
        <v>3528</v>
      </c>
      <c r="C467" s="15">
        <v>2.8999999999999998E-3</v>
      </c>
      <c r="D467" s="12"/>
      <c r="E467" s="4"/>
      <c r="F467" s="24"/>
      <c r="G467" s="7"/>
      <c r="H467" s="25"/>
      <c r="I467" s="4"/>
    </row>
    <row r="468" spans="1:9" ht="15.75" hidden="1" outlineLevel="2" x14ac:dyDescent="0.25">
      <c r="A468" s="13">
        <v>45747.999803240738</v>
      </c>
      <c r="B468" s="14">
        <v>3549</v>
      </c>
      <c r="C468" s="15">
        <v>3.2000000000000002E-3</v>
      </c>
      <c r="D468" s="12"/>
      <c r="E468" s="4"/>
      <c r="F468" s="24"/>
      <c r="G468" s="7"/>
      <c r="H468" s="25"/>
      <c r="I468" s="4"/>
    </row>
    <row r="469" spans="1:9" ht="15.75" hidden="1" outlineLevel="2" x14ac:dyDescent="0.25">
      <c r="A469" s="13">
        <v>45777.999803240738</v>
      </c>
      <c r="B469" s="14">
        <v>2905</v>
      </c>
      <c r="C469" s="15">
        <v>2.8E-3</v>
      </c>
      <c r="D469" s="12"/>
      <c r="E469" s="4"/>
      <c r="F469" s="24"/>
      <c r="G469" s="7"/>
      <c r="H469" s="25"/>
      <c r="I469" s="4"/>
    </row>
    <row r="470" spans="1:9" ht="15.75" hidden="1" outlineLevel="2" x14ac:dyDescent="0.25">
      <c r="A470" s="13">
        <v>45808.999803240738</v>
      </c>
      <c r="B470" s="14">
        <v>3006</v>
      </c>
      <c r="C470" s="15">
        <v>3.0000000000000001E-3</v>
      </c>
      <c r="D470" s="12"/>
      <c r="E470" s="4"/>
      <c r="F470" s="24"/>
      <c r="G470" s="7"/>
      <c r="H470" s="25"/>
      <c r="I470" s="4"/>
    </row>
    <row r="471" spans="1:9" ht="15.75" hidden="1" outlineLevel="2" x14ac:dyDescent="0.25">
      <c r="A471" s="13">
        <v>45838.999803240738</v>
      </c>
      <c r="B471" s="14">
        <v>2715</v>
      </c>
      <c r="C471" s="15">
        <v>2.7000000000000001E-3</v>
      </c>
      <c r="D471" s="12"/>
      <c r="E471" s="4"/>
      <c r="F471" s="24"/>
      <c r="G471" s="7"/>
      <c r="H471" s="25"/>
      <c r="I471" s="4"/>
    </row>
    <row r="472" spans="1:9" ht="15.75" hidden="1" outlineLevel="2" x14ac:dyDescent="0.25">
      <c r="A472" s="13">
        <v>45869.999803240738</v>
      </c>
      <c r="B472" s="14">
        <v>2352</v>
      </c>
      <c r="C472" s="15">
        <v>2.3E-3</v>
      </c>
      <c r="D472" s="12"/>
      <c r="E472" s="4"/>
      <c r="F472" s="24"/>
      <c r="G472" s="7"/>
      <c r="H472" s="25"/>
      <c r="I472" s="4"/>
    </row>
    <row r="473" spans="1:9" ht="15.75" hidden="1" outlineLevel="2" x14ac:dyDescent="0.25">
      <c r="A473" s="13">
        <v>45900.999803240738</v>
      </c>
      <c r="B473" s="14">
        <v>2282</v>
      </c>
      <c r="C473" s="15">
        <v>2E-3</v>
      </c>
      <c r="D473" s="12"/>
      <c r="E473" s="4"/>
      <c r="F473" s="24"/>
      <c r="G473" s="7"/>
      <c r="H473" s="25"/>
      <c r="I473" s="4"/>
    </row>
    <row r="474" spans="1:9" ht="15.75" hidden="1" outlineLevel="2" x14ac:dyDescent="0.25">
      <c r="A474" s="13">
        <v>45930.999803240738</v>
      </c>
      <c r="B474" s="14">
        <v>2099</v>
      </c>
      <c r="C474" s="15">
        <v>1.8E-3</v>
      </c>
      <c r="D474" s="12"/>
      <c r="E474" s="4"/>
      <c r="F474" s="24"/>
      <c r="G474" s="7"/>
      <c r="H474" s="25"/>
      <c r="I474" s="4"/>
    </row>
    <row r="475" spans="1:9" ht="15.75" hidden="1" outlineLevel="2" x14ac:dyDescent="0.25">
      <c r="A475" s="13">
        <v>45961.999803240738</v>
      </c>
      <c r="B475" s="14">
        <v>2143</v>
      </c>
      <c r="C475" s="15">
        <v>1.9E-3</v>
      </c>
      <c r="D475" s="12"/>
      <c r="E475" s="4"/>
      <c r="F475" s="24"/>
      <c r="G475" s="7"/>
      <c r="H475" s="25"/>
      <c r="I475" s="4"/>
    </row>
    <row r="476" spans="1:9" ht="15.75" hidden="1" outlineLevel="2" x14ac:dyDescent="0.25">
      <c r="A476" s="13">
        <v>45991.999803240738</v>
      </c>
      <c r="B476" s="14">
        <v>1749</v>
      </c>
      <c r="C476" s="15">
        <v>1.5E-3</v>
      </c>
      <c r="D476" s="12"/>
      <c r="E476" s="4"/>
      <c r="F476" s="24"/>
      <c r="G476" s="7"/>
      <c r="H476" s="25"/>
      <c r="I476" s="4"/>
    </row>
    <row r="477" spans="1:9" collapsed="1" x14ac:dyDescent="0.25">
      <c r="A477" s="10" t="s">
        <v>3</v>
      </c>
      <c r="B477" s="11">
        <f>AVERAGE(B453:B476)</f>
        <v>2762.4583333333335</v>
      </c>
      <c r="C477" s="11"/>
      <c r="D477" s="338">
        <v>1170000</v>
      </c>
      <c r="E477" s="339"/>
      <c r="F477" s="340">
        <f>B478/D477</f>
        <v>2.8332905982905984E-2</v>
      </c>
      <c r="G477" s="333"/>
      <c r="H477" s="341">
        <f>$H$29*(F477/$F$29)</f>
        <v>2.8332905982905984E-2</v>
      </c>
      <c r="I477" s="339">
        <f>D477*H477</f>
        <v>33149.5</v>
      </c>
    </row>
    <row r="478" spans="1:9" x14ac:dyDescent="0.25">
      <c r="A478" s="9" t="s">
        <v>4</v>
      </c>
      <c r="B478" s="3">
        <f>B477*12</f>
        <v>33149.5</v>
      </c>
      <c r="C478" s="3"/>
      <c r="D478" s="338"/>
      <c r="E478" s="339"/>
      <c r="F478" s="340"/>
      <c r="G478" s="333"/>
      <c r="H478" s="341"/>
      <c r="I478" s="339"/>
    </row>
    <row r="479" spans="1:9" x14ac:dyDescent="0.25">
      <c r="A479" s="8" t="s">
        <v>50</v>
      </c>
      <c r="B479" s="8"/>
      <c r="C479" s="22" t="s">
        <v>33</v>
      </c>
      <c r="D479" s="12"/>
      <c r="E479" s="4"/>
      <c r="F479" s="24"/>
      <c r="G479" s="7"/>
      <c r="H479" s="25"/>
      <c r="I479" s="4"/>
    </row>
    <row r="480" spans="1:9" ht="28.5" hidden="1" outlineLevel="2" x14ac:dyDescent="0.25">
      <c r="A480" s="2" t="s">
        <v>1</v>
      </c>
      <c r="B480" s="2" t="s">
        <v>2</v>
      </c>
      <c r="C480" s="2"/>
      <c r="D480" s="12"/>
      <c r="E480" s="4"/>
      <c r="F480" s="24"/>
      <c r="G480" s="7"/>
      <c r="H480" s="25"/>
      <c r="I480" s="4"/>
    </row>
    <row r="481" spans="1:9" ht="15.75" hidden="1" outlineLevel="2" x14ac:dyDescent="0.25">
      <c r="A481" s="13">
        <v>45291.999803240738</v>
      </c>
      <c r="B481" s="14">
        <v>1633</v>
      </c>
      <c r="C481" s="15">
        <v>1.4E-3</v>
      </c>
      <c r="D481" s="12"/>
      <c r="E481" s="4"/>
      <c r="F481" s="24"/>
      <c r="G481" s="7"/>
      <c r="H481" s="25"/>
      <c r="I481" s="4"/>
    </row>
    <row r="482" spans="1:9" ht="15.75" hidden="1" outlineLevel="2" x14ac:dyDescent="0.25">
      <c r="A482" s="13">
        <v>45322.999803240738</v>
      </c>
      <c r="B482" s="14">
        <v>1999</v>
      </c>
      <c r="C482" s="15">
        <v>1.9E-3</v>
      </c>
      <c r="D482" s="12"/>
      <c r="E482" s="4"/>
      <c r="F482" s="24"/>
      <c r="G482" s="7"/>
      <c r="H482" s="25"/>
      <c r="I482" s="4"/>
    </row>
    <row r="483" spans="1:9" ht="15.75" hidden="1" outlineLevel="2" x14ac:dyDescent="0.25">
      <c r="A483" s="13">
        <v>45351.999803240738</v>
      </c>
      <c r="B483" s="14">
        <v>2882</v>
      </c>
      <c r="C483" s="15">
        <v>2.5999999999999999E-3</v>
      </c>
      <c r="D483" s="12"/>
      <c r="E483" s="4"/>
      <c r="F483" s="24"/>
      <c r="G483" s="7"/>
      <c r="H483" s="25"/>
      <c r="I483" s="4"/>
    </row>
    <row r="484" spans="1:9" ht="15.75" hidden="1" outlineLevel="2" x14ac:dyDescent="0.25">
      <c r="A484" s="13">
        <v>45382.999803240738</v>
      </c>
      <c r="B484" s="14">
        <v>3349</v>
      </c>
      <c r="C484" s="15">
        <v>3.3E-3</v>
      </c>
      <c r="D484" s="12"/>
      <c r="E484" s="4"/>
      <c r="F484" s="24"/>
      <c r="G484" s="7"/>
      <c r="H484" s="25"/>
      <c r="I484" s="4"/>
    </row>
    <row r="485" spans="1:9" ht="15.75" hidden="1" outlineLevel="2" x14ac:dyDescent="0.25">
      <c r="A485" s="13">
        <v>45412.999803240738</v>
      </c>
      <c r="B485" s="14">
        <v>2529</v>
      </c>
      <c r="C485" s="15">
        <v>2.5000000000000001E-3</v>
      </c>
      <c r="D485" s="12"/>
      <c r="E485" s="4"/>
      <c r="F485" s="24"/>
      <c r="G485" s="7"/>
      <c r="H485" s="25"/>
      <c r="I485" s="4"/>
    </row>
    <row r="486" spans="1:9" ht="15.75" hidden="1" outlineLevel="2" x14ac:dyDescent="0.25">
      <c r="A486" s="13">
        <v>45443.999803240738</v>
      </c>
      <c r="B486" s="14">
        <v>2433</v>
      </c>
      <c r="C486" s="15">
        <v>2.8999999999999998E-3</v>
      </c>
      <c r="D486" s="12"/>
      <c r="E486" s="4"/>
      <c r="F486" s="24"/>
      <c r="G486" s="7"/>
      <c r="H486" s="25"/>
      <c r="I486" s="4"/>
    </row>
    <row r="487" spans="1:9" ht="15.75" hidden="1" outlineLevel="2" x14ac:dyDescent="0.25">
      <c r="A487" s="13">
        <v>45473.999803240738</v>
      </c>
      <c r="B487" s="14">
        <v>2062</v>
      </c>
      <c r="C487" s="15">
        <v>2.5000000000000001E-3</v>
      </c>
      <c r="D487" s="12"/>
      <c r="E487" s="4"/>
      <c r="F487" s="24"/>
      <c r="G487" s="7"/>
      <c r="H487" s="25"/>
      <c r="I487" s="4"/>
    </row>
    <row r="488" spans="1:9" ht="15.75" hidden="1" outlineLevel="2" x14ac:dyDescent="0.25">
      <c r="A488" s="13">
        <v>45504.999803240738</v>
      </c>
      <c r="B488" s="14">
        <v>1606</v>
      </c>
      <c r="C488" s="15">
        <v>1.9E-3</v>
      </c>
      <c r="D488" s="12"/>
      <c r="E488" s="4"/>
      <c r="F488" s="24"/>
      <c r="G488" s="7"/>
      <c r="H488" s="25"/>
      <c r="I488" s="4"/>
    </row>
    <row r="489" spans="1:9" ht="15.75" hidden="1" outlineLevel="2" x14ac:dyDescent="0.25">
      <c r="A489" s="13">
        <v>45535.999803240738</v>
      </c>
      <c r="B489" s="14">
        <v>1528</v>
      </c>
      <c r="C489" s="15">
        <v>1.6999999999999999E-3</v>
      </c>
      <c r="D489" s="12"/>
      <c r="E489" s="4"/>
      <c r="F489" s="24"/>
      <c r="G489" s="7"/>
      <c r="H489" s="25"/>
      <c r="I489" s="4"/>
    </row>
    <row r="490" spans="1:9" ht="15.75" hidden="1" outlineLevel="2" x14ac:dyDescent="0.25">
      <c r="A490" s="13">
        <v>45565.999803240738</v>
      </c>
      <c r="B490" s="14">
        <v>1849</v>
      </c>
      <c r="C490" s="15">
        <v>1.6999999999999999E-3</v>
      </c>
      <c r="D490" s="12"/>
      <c r="E490" s="4"/>
      <c r="F490" s="24"/>
      <c r="G490" s="7"/>
      <c r="H490" s="25"/>
      <c r="I490" s="4"/>
    </row>
    <row r="491" spans="1:9" ht="15.75" hidden="1" outlineLevel="2" x14ac:dyDescent="0.25">
      <c r="A491" s="13">
        <v>45596.999803240738</v>
      </c>
      <c r="B491" s="14">
        <v>1746</v>
      </c>
      <c r="C491" s="15">
        <v>1.5E-3</v>
      </c>
      <c r="D491" s="12"/>
      <c r="E491" s="4"/>
      <c r="F491" s="24"/>
      <c r="G491" s="7"/>
      <c r="H491" s="25"/>
      <c r="I491" s="4"/>
    </row>
    <row r="492" spans="1:9" ht="15.75" hidden="1" outlineLevel="2" x14ac:dyDescent="0.25">
      <c r="A492" s="13">
        <v>45626.999803240738</v>
      </c>
      <c r="B492" s="14">
        <v>1570</v>
      </c>
      <c r="C492" s="15">
        <v>1.2999999999999999E-3</v>
      </c>
      <c r="D492" s="12"/>
      <c r="E492" s="4"/>
      <c r="F492" s="24"/>
      <c r="G492" s="7"/>
      <c r="H492" s="25"/>
      <c r="I492" s="4"/>
    </row>
    <row r="493" spans="1:9" ht="15.75" hidden="1" outlineLevel="2" x14ac:dyDescent="0.25">
      <c r="A493" s="13">
        <v>45657.999803240738</v>
      </c>
      <c r="B493" s="14">
        <v>1378</v>
      </c>
      <c r="C493" s="15">
        <v>1.1999999999999999E-3</v>
      </c>
      <c r="D493" s="12"/>
      <c r="E493" s="4"/>
      <c r="F493" s="24"/>
      <c r="G493" s="7"/>
      <c r="H493" s="25"/>
      <c r="I493" s="4"/>
    </row>
    <row r="494" spans="1:9" ht="15.75" hidden="1" outlineLevel="2" x14ac:dyDescent="0.25">
      <c r="A494" s="13">
        <v>45688.999803240738</v>
      </c>
      <c r="B494" s="14">
        <v>1625</v>
      </c>
      <c r="C494" s="15">
        <v>1.4E-3</v>
      </c>
      <c r="D494" s="12"/>
      <c r="E494" s="4"/>
      <c r="F494" s="24"/>
      <c r="G494" s="7"/>
      <c r="H494" s="25"/>
      <c r="I494" s="4"/>
    </row>
    <row r="495" spans="1:9" ht="15.75" hidden="1" outlineLevel="2" x14ac:dyDescent="0.25">
      <c r="A495" s="13">
        <v>45716.999803240738</v>
      </c>
      <c r="B495" s="14">
        <v>2378</v>
      </c>
      <c r="C495" s="15">
        <v>2E-3</v>
      </c>
      <c r="D495" s="12"/>
      <c r="E495" s="4"/>
      <c r="F495" s="24"/>
      <c r="G495" s="7"/>
      <c r="H495" s="25"/>
      <c r="I495" s="4"/>
    </row>
    <row r="496" spans="1:9" ht="15.75" hidden="1" outlineLevel="2" x14ac:dyDescent="0.25">
      <c r="A496" s="13">
        <v>45747.999803240738</v>
      </c>
      <c r="B496" s="14">
        <v>2435</v>
      </c>
      <c r="C496" s="15">
        <v>2.2000000000000001E-3</v>
      </c>
      <c r="D496" s="12"/>
      <c r="E496" s="4"/>
      <c r="F496" s="24"/>
      <c r="G496" s="7"/>
      <c r="H496" s="25"/>
      <c r="I496" s="4"/>
    </row>
    <row r="497" spans="1:9" ht="15.75" hidden="1" outlineLevel="2" x14ac:dyDescent="0.25">
      <c r="A497" s="13">
        <v>45777.999803240738</v>
      </c>
      <c r="B497" s="14">
        <v>2185</v>
      </c>
      <c r="C497" s="15">
        <v>2.2000000000000001E-3</v>
      </c>
      <c r="D497" s="12"/>
      <c r="E497" s="4"/>
      <c r="F497" s="24"/>
      <c r="G497" s="7"/>
      <c r="H497" s="25"/>
      <c r="I497" s="4"/>
    </row>
    <row r="498" spans="1:9" ht="15.75" hidden="1" outlineLevel="2" x14ac:dyDescent="0.25">
      <c r="A498" s="13">
        <v>45808.999803240738</v>
      </c>
      <c r="B498" s="14">
        <v>2211</v>
      </c>
      <c r="C498" s="15">
        <v>2.3E-3</v>
      </c>
      <c r="D498" s="12"/>
      <c r="E498" s="4"/>
      <c r="F498" s="24"/>
      <c r="G498" s="7"/>
      <c r="H498" s="25"/>
      <c r="I498" s="4"/>
    </row>
    <row r="499" spans="1:9" ht="15.75" hidden="1" outlineLevel="2" x14ac:dyDescent="0.25">
      <c r="A499" s="13">
        <v>45838.999803240738</v>
      </c>
      <c r="B499" s="14">
        <v>1954</v>
      </c>
      <c r="C499" s="15">
        <v>2.0999999999999999E-3</v>
      </c>
      <c r="D499" s="12"/>
      <c r="E499" s="4"/>
      <c r="F499" s="24"/>
      <c r="G499" s="7"/>
      <c r="H499" s="25"/>
      <c r="I499" s="4"/>
    </row>
    <row r="500" spans="1:9" ht="15.75" hidden="1" outlineLevel="2" x14ac:dyDescent="0.25">
      <c r="A500" s="13">
        <v>45869.999803240738</v>
      </c>
      <c r="B500" s="14">
        <v>1765</v>
      </c>
      <c r="C500" s="15">
        <v>1.9E-3</v>
      </c>
      <c r="D500" s="12"/>
      <c r="E500" s="4"/>
      <c r="F500" s="24"/>
      <c r="G500" s="7"/>
      <c r="H500" s="25"/>
      <c r="I500" s="4"/>
    </row>
    <row r="501" spans="1:9" ht="15.75" hidden="1" outlineLevel="2" x14ac:dyDescent="0.25">
      <c r="A501" s="13">
        <v>45900.999803240738</v>
      </c>
      <c r="B501" s="14">
        <v>1497</v>
      </c>
      <c r="C501" s="15">
        <v>1.2999999999999999E-3</v>
      </c>
      <c r="D501" s="12"/>
      <c r="E501" s="4"/>
      <c r="F501" s="24"/>
      <c r="G501" s="7"/>
      <c r="H501" s="25"/>
      <c r="I501" s="4"/>
    </row>
    <row r="502" spans="1:9" ht="15.75" hidden="1" outlineLevel="2" x14ac:dyDescent="0.25">
      <c r="A502" s="13">
        <v>45930.999803240738</v>
      </c>
      <c r="B502" s="14">
        <v>1622</v>
      </c>
      <c r="C502" s="15">
        <v>1.4E-3</v>
      </c>
      <c r="D502" s="12"/>
      <c r="E502" s="4"/>
      <c r="F502" s="24"/>
      <c r="G502" s="7"/>
      <c r="H502" s="25"/>
      <c r="I502" s="4"/>
    </row>
    <row r="503" spans="1:9" ht="15.75" hidden="1" outlineLevel="2" x14ac:dyDescent="0.25">
      <c r="A503" s="13">
        <v>45961.999803240738</v>
      </c>
      <c r="B503" s="14">
        <v>1536</v>
      </c>
      <c r="C503" s="15">
        <v>1.2999999999999999E-3</v>
      </c>
      <c r="D503" s="12"/>
      <c r="E503" s="4"/>
      <c r="F503" s="24"/>
      <c r="G503" s="7"/>
      <c r="H503" s="25"/>
      <c r="I503" s="4"/>
    </row>
    <row r="504" spans="1:9" ht="15.75" hidden="1" outlineLevel="2" x14ac:dyDescent="0.25">
      <c r="A504" s="13">
        <v>45991.999803240738</v>
      </c>
      <c r="B504" s="14">
        <v>1190</v>
      </c>
      <c r="C504" s="15">
        <v>1E-3</v>
      </c>
      <c r="D504" s="12"/>
      <c r="E504" s="4"/>
      <c r="F504" s="24"/>
      <c r="G504" s="7"/>
      <c r="H504" s="25"/>
      <c r="I504" s="4"/>
    </row>
    <row r="505" spans="1:9" collapsed="1" x14ac:dyDescent="0.25">
      <c r="A505" s="10" t="s">
        <v>3</v>
      </c>
      <c r="B505" s="11">
        <f>AVERAGE(B481:B504)</f>
        <v>1956.75</v>
      </c>
      <c r="C505" s="11"/>
      <c r="D505" s="338">
        <v>1145000</v>
      </c>
      <c r="E505" s="339"/>
      <c r="F505" s="340">
        <f>B506/D505</f>
        <v>2.0507423580786027E-2</v>
      </c>
      <c r="G505" s="333"/>
      <c r="H505" s="341">
        <f>$H$29*(F505/$F$29)</f>
        <v>2.0507423580786027E-2</v>
      </c>
      <c r="I505" s="339">
        <f>D505*H505</f>
        <v>23481</v>
      </c>
    </row>
    <row r="506" spans="1:9" x14ac:dyDescent="0.25">
      <c r="A506" s="9" t="s">
        <v>4</v>
      </c>
      <c r="B506" s="3">
        <f>B505*12</f>
        <v>23481</v>
      </c>
      <c r="C506" s="3"/>
      <c r="D506" s="338"/>
      <c r="E506" s="339"/>
      <c r="F506" s="340"/>
      <c r="G506" s="333"/>
      <c r="H506" s="341"/>
      <c r="I506" s="339"/>
    </row>
    <row r="507" spans="1:9" x14ac:dyDescent="0.25">
      <c r="A507" s="8" t="s">
        <v>51</v>
      </c>
      <c r="B507" s="8"/>
      <c r="C507" s="22" t="s">
        <v>33</v>
      </c>
      <c r="D507" s="12"/>
      <c r="E507" s="4"/>
      <c r="F507" s="24"/>
      <c r="G507" s="7"/>
      <c r="H507" s="25"/>
      <c r="I507" s="4"/>
    </row>
    <row r="508" spans="1:9" ht="28.5" hidden="1" outlineLevel="2" x14ac:dyDescent="0.25">
      <c r="A508" s="2" t="s">
        <v>1</v>
      </c>
      <c r="B508" s="2" t="s">
        <v>2</v>
      </c>
      <c r="C508" s="2"/>
      <c r="D508" s="12"/>
      <c r="E508" s="4"/>
      <c r="F508" s="24"/>
      <c r="G508" s="7"/>
      <c r="H508" s="25"/>
      <c r="I508" s="4"/>
    </row>
    <row r="509" spans="1:9" ht="15.75" hidden="1" outlineLevel="2" x14ac:dyDescent="0.25">
      <c r="A509" s="13">
        <v>45291.999803240738</v>
      </c>
      <c r="B509" s="14">
        <v>2228</v>
      </c>
      <c r="C509" s="15">
        <v>1.5E-3</v>
      </c>
      <c r="D509" s="12"/>
      <c r="E509" s="4"/>
      <c r="F509" s="24"/>
      <c r="G509" s="7"/>
      <c r="H509" s="25"/>
      <c r="I509" s="4"/>
    </row>
    <row r="510" spans="1:9" ht="15.75" hidden="1" outlineLevel="2" x14ac:dyDescent="0.25">
      <c r="A510" s="13">
        <v>45322.999803240738</v>
      </c>
      <c r="B510" s="14">
        <v>2968</v>
      </c>
      <c r="C510" s="15">
        <v>2.0999999999999999E-3</v>
      </c>
      <c r="D510" s="12"/>
      <c r="E510" s="4"/>
      <c r="F510" s="24"/>
      <c r="G510" s="7"/>
      <c r="H510" s="25"/>
      <c r="I510" s="4"/>
    </row>
    <row r="511" spans="1:9" ht="15.75" hidden="1" outlineLevel="2" x14ac:dyDescent="0.25">
      <c r="A511" s="13">
        <v>45351.999803240738</v>
      </c>
      <c r="B511" s="14">
        <v>3364</v>
      </c>
      <c r="C511" s="15">
        <v>2.3999999999999998E-3</v>
      </c>
      <c r="D511" s="12"/>
      <c r="E511" s="4"/>
      <c r="F511" s="24"/>
      <c r="G511" s="7"/>
      <c r="H511" s="25"/>
      <c r="I511" s="4"/>
    </row>
    <row r="512" spans="1:9" ht="15.75" hidden="1" outlineLevel="2" x14ac:dyDescent="0.25">
      <c r="A512" s="13">
        <v>45382.999803240738</v>
      </c>
      <c r="B512" s="14">
        <v>4531</v>
      </c>
      <c r="C512" s="15">
        <v>3.5000000000000001E-3</v>
      </c>
      <c r="D512" s="12"/>
      <c r="E512" s="4"/>
      <c r="F512" s="24"/>
      <c r="G512" s="7"/>
      <c r="H512" s="25"/>
      <c r="I512" s="4"/>
    </row>
    <row r="513" spans="1:9" ht="15.75" hidden="1" outlineLevel="2" x14ac:dyDescent="0.25">
      <c r="A513" s="13">
        <v>45412.999803240738</v>
      </c>
      <c r="B513" s="14">
        <v>3733</v>
      </c>
      <c r="C513" s="15">
        <v>2.8E-3</v>
      </c>
      <c r="D513" s="12"/>
      <c r="E513" s="4"/>
      <c r="F513" s="24"/>
      <c r="G513" s="7"/>
      <c r="H513" s="25"/>
      <c r="I513" s="4"/>
    </row>
    <row r="514" spans="1:9" ht="15.75" hidden="1" outlineLevel="2" x14ac:dyDescent="0.25">
      <c r="A514" s="13">
        <v>45443.999803240738</v>
      </c>
      <c r="B514" s="14">
        <v>3907</v>
      </c>
      <c r="C514" s="15">
        <v>3.3E-3</v>
      </c>
      <c r="D514" s="12"/>
      <c r="E514" s="4"/>
      <c r="F514" s="24"/>
      <c r="G514" s="7"/>
      <c r="H514" s="25"/>
      <c r="I514" s="4"/>
    </row>
    <row r="515" spans="1:9" ht="15.75" hidden="1" outlineLevel="2" x14ac:dyDescent="0.25">
      <c r="A515" s="13">
        <v>45473.999803240738</v>
      </c>
      <c r="B515" s="14">
        <v>3813</v>
      </c>
      <c r="C515" s="15">
        <v>3.3E-3</v>
      </c>
      <c r="D515" s="12"/>
      <c r="E515" s="4"/>
      <c r="F515" s="24"/>
      <c r="G515" s="7"/>
      <c r="H515" s="25"/>
      <c r="I515" s="4"/>
    </row>
    <row r="516" spans="1:9" ht="15.75" hidden="1" outlineLevel="2" x14ac:dyDescent="0.25">
      <c r="A516" s="13">
        <v>45504.999803240738</v>
      </c>
      <c r="B516" s="14">
        <v>3114</v>
      </c>
      <c r="C516" s="15">
        <v>2.5999999999999999E-3</v>
      </c>
      <c r="D516" s="12"/>
      <c r="E516" s="4"/>
      <c r="F516" s="24"/>
      <c r="G516" s="7"/>
      <c r="H516" s="25"/>
      <c r="I516" s="4"/>
    </row>
    <row r="517" spans="1:9" ht="15.75" hidden="1" outlineLevel="2" x14ac:dyDescent="0.25">
      <c r="A517" s="13">
        <v>45535.999803240738</v>
      </c>
      <c r="B517" s="14">
        <v>2720</v>
      </c>
      <c r="C517" s="15">
        <v>2.0999999999999999E-3</v>
      </c>
      <c r="D517" s="12"/>
      <c r="E517" s="4"/>
      <c r="F517" s="24"/>
      <c r="G517" s="7"/>
      <c r="H517" s="25"/>
      <c r="I517" s="4"/>
    </row>
    <row r="518" spans="1:9" ht="15.75" hidden="1" outlineLevel="2" x14ac:dyDescent="0.25">
      <c r="A518" s="13">
        <v>45565.999803240738</v>
      </c>
      <c r="B518" s="14">
        <v>2870</v>
      </c>
      <c r="C518" s="15">
        <v>2E-3</v>
      </c>
      <c r="D518" s="12"/>
      <c r="E518" s="4"/>
      <c r="F518" s="24"/>
      <c r="G518" s="7"/>
      <c r="H518" s="25"/>
      <c r="I518" s="4"/>
    </row>
    <row r="519" spans="1:9" ht="15.75" hidden="1" outlineLevel="2" x14ac:dyDescent="0.25">
      <c r="A519" s="13">
        <v>45596.999803240738</v>
      </c>
      <c r="B519" s="14">
        <v>2829</v>
      </c>
      <c r="C519" s="15">
        <v>1.9E-3</v>
      </c>
      <c r="D519" s="12"/>
      <c r="E519" s="4"/>
      <c r="F519" s="24"/>
      <c r="G519" s="7"/>
      <c r="H519" s="25"/>
      <c r="I519" s="4"/>
    </row>
    <row r="520" spans="1:9" ht="15.75" hidden="1" outlineLevel="2" x14ac:dyDescent="0.25">
      <c r="A520" s="13">
        <v>45626.999803240738</v>
      </c>
      <c r="B520" s="14">
        <v>2490</v>
      </c>
      <c r="C520" s="15">
        <v>1.6000000000000001E-3</v>
      </c>
      <c r="D520" s="12"/>
      <c r="E520" s="4"/>
      <c r="F520" s="24"/>
      <c r="G520" s="7"/>
      <c r="H520" s="25"/>
      <c r="I520" s="4"/>
    </row>
    <row r="521" spans="1:9" ht="15.75" hidden="1" outlineLevel="2" x14ac:dyDescent="0.25">
      <c r="A521" s="13">
        <v>45657.999803240738</v>
      </c>
      <c r="B521" s="14">
        <v>2274</v>
      </c>
      <c r="C521" s="15">
        <v>1.6000000000000001E-3</v>
      </c>
      <c r="D521" s="12"/>
      <c r="E521" s="4"/>
      <c r="F521" s="24"/>
      <c r="G521" s="7"/>
      <c r="H521" s="25"/>
      <c r="I521" s="4"/>
    </row>
    <row r="522" spans="1:9" ht="15.75" hidden="1" outlineLevel="2" x14ac:dyDescent="0.25">
      <c r="A522" s="13">
        <v>45688.999803240738</v>
      </c>
      <c r="B522" s="14">
        <v>2217</v>
      </c>
      <c r="C522" s="15">
        <v>1.6000000000000001E-3</v>
      </c>
      <c r="D522" s="12"/>
      <c r="E522" s="4"/>
      <c r="F522" s="24"/>
      <c r="G522" s="7"/>
      <c r="H522" s="25"/>
      <c r="I522" s="4"/>
    </row>
    <row r="523" spans="1:9" ht="15.75" hidden="1" outlineLevel="2" x14ac:dyDescent="0.25">
      <c r="A523" s="13">
        <v>45716.999803240738</v>
      </c>
      <c r="B523" s="14">
        <v>3621</v>
      </c>
      <c r="C523" s="15">
        <v>2.5000000000000001E-3</v>
      </c>
      <c r="D523" s="12"/>
      <c r="E523" s="4"/>
      <c r="F523" s="24"/>
      <c r="G523" s="7"/>
      <c r="H523" s="25"/>
      <c r="I523" s="4"/>
    </row>
    <row r="524" spans="1:9" ht="15.75" hidden="1" outlineLevel="2" x14ac:dyDescent="0.25">
      <c r="A524" s="13">
        <v>45747.999803240738</v>
      </c>
      <c r="B524" s="14">
        <v>3581</v>
      </c>
      <c r="C524" s="15">
        <v>2.5999999999999999E-3</v>
      </c>
      <c r="D524" s="12"/>
      <c r="E524" s="4"/>
      <c r="F524" s="24"/>
      <c r="G524" s="7"/>
      <c r="H524" s="25"/>
      <c r="I524" s="4"/>
    </row>
    <row r="525" spans="1:9" ht="15.75" hidden="1" outlineLevel="2" x14ac:dyDescent="0.25">
      <c r="A525" s="13">
        <v>45777.999803240738</v>
      </c>
      <c r="B525" s="14">
        <v>3499</v>
      </c>
      <c r="C525" s="15">
        <v>2.7000000000000001E-3</v>
      </c>
      <c r="D525" s="12"/>
      <c r="E525" s="4"/>
      <c r="F525" s="24"/>
      <c r="G525" s="7"/>
      <c r="H525" s="25"/>
      <c r="I525" s="4"/>
    </row>
    <row r="526" spans="1:9" ht="15.75" hidden="1" outlineLevel="2" x14ac:dyDescent="0.25">
      <c r="A526" s="13">
        <v>45808.999803240738</v>
      </c>
      <c r="B526" s="14">
        <v>3811</v>
      </c>
      <c r="C526" s="15">
        <v>2.8999999999999998E-3</v>
      </c>
      <c r="D526" s="12"/>
      <c r="E526" s="4"/>
      <c r="F526" s="24"/>
      <c r="G526" s="7"/>
      <c r="H526" s="25"/>
      <c r="I526" s="4"/>
    </row>
    <row r="527" spans="1:9" ht="15.75" hidden="1" outlineLevel="2" x14ac:dyDescent="0.25">
      <c r="A527" s="13">
        <v>45838.999803240738</v>
      </c>
      <c r="B527" s="14">
        <v>3541</v>
      </c>
      <c r="C527" s="15">
        <v>2.8E-3</v>
      </c>
      <c r="D527" s="12"/>
      <c r="E527" s="4"/>
      <c r="F527" s="24"/>
      <c r="G527" s="7"/>
      <c r="H527" s="25"/>
      <c r="I527" s="4"/>
    </row>
    <row r="528" spans="1:9" ht="15.75" hidden="1" outlineLevel="2" x14ac:dyDescent="0.25">
      <c r="A528" s="13">
        <v>45869.999803240738</v>
      </c>
      <c r="B528" s="14">
        <v>2901</v>
      </c>
      <c r="C528" s="15">
        <v>2.3999999999999998E-3</v>
      </c>
      <c r="D528" s="12"/>
      <c r="E528" s="4"/>
      <c r="F528" s="24"/>
      <c r="G528" s="7"/>
      <c r="H528" s="25"/>
      <c r="I528" s="4"/>
    </row>
    <row r="529" spans="1:9" ht="15.75" hidden="1" outlineLevel="2" x14ac:dyDescent="0.25">
      <c r="A529" s="13">
        <v>45900.999803240738</v>
      </c>
      <c r="B529" s="14">
        <v>2536</v>
      </c>
      <c r="C529" s="15">
        <v>1.9E-3</v>
      </c>
      <c r="D529" s="12"/>
      <c r="E529" s="4"/>
      <c r="F529" s="24"/>
      <c r="G529" s="7"/>
      <c r="H529" s="25"/>
      <c r="I529" s="4"/>
    </row>
    <row r="530" spans="1:9" ht="15.75" hidden="1" outlineLevel="2" x14ac:dyDescent="0.25">
      <c r="A530" s="13">
        <v>45930.999803240738</v>
      </c>
      <c r="B530" s="14">
        <v>2363</v>
      </c>
      <c r="C530" s="15">
        <v>1.6999999999999999E-3</v>
      </c>
      <c r="D530" s="12"/>
      <c r="E530" s="4"/>
      <c r="F530" s="24"/>
      <c r="G530" s="7"/>
      <c r="H530" s="25"/>
      <c r="I530" s="4"/>
    </row>
    <row r="531" spans="1:9" ht="15.75" hidden="1" outlineLevel="2" x14ac:dyDescent="0.25">
      <c r="A531" s="13">
        <v>45961.999803240738</v>
      </c>
      <c r="B531" s="14">
        <v>2210</v>
      </c>
      <c r="C531" s="15">
        <v>1.6000000000000001E-3</v>
      </c>
      <c r="D531" s="12"/>
      <c r="E531" s="4"/>
      <c r="F531" s="24"/>
      <c r="G531" s="7"/>
      <c r="H531" s="25"/>
      <c r="I531" s="4"/>
    </row>
    <row r="532" spans="1:9" ht="15.75" hidden="1" outlineLevel="2" x14ac:dyDescent="0.25">
      <c r="A532" s="13">
        <v>45991.999803240738</v>
      </c>
      <c r="B532" s="14">
        <v>1848</v>
      </c>
      <c r="C532" s="15">
        <v>1.4E-3</v>
      </c>
      <c r="D532" s="12"/>
      <c r="E532" s="4"/>
      <c r="F532" s="24"/>
      <c r="G532" s="7"/>
      <c r="H532" s="25"/>
      <c r="I532" s="4"/>
    </row>
    <row r="533" spans="1:9" collapsed="1" x14ac:dyDescent="0.25">
      <c r="A533" s="10" t="s">
        <v>3</v>
      </c>
      <c r="B533" s="11">
        <f>AVERAGE(B509:B532)</f>
        <v>3040.375</v>
      </c>
      <c r="C533" s="11"/>
      <c r="D533" s="338">
        <v>1140000</v>
      </c>
      <c r="E533" s="339"/>
      <c r="F533" s="340">
        <f>B534/D533</f>
        <v>3.2003947368421055E-2</v>
      </c>
      <c r="G533" s="333"/>
      <c r="H533" s="341">
        <f>$H$29*(F533/$F$29)</f>
        <v>3.2003947368421055E-2</v>
      </c>
      <c r="I533" s="339">
        <f>D533*H533</f>
        <v>36484.5</v>
      </c>
    </row>
    <row r="534" spans="1:9" x14ac:dyDescent="0.25">
      <c r="A534" s="9" t="s">
        <v>4</v>
      </c>
      <c r="B534" s="3">
        <f>B533*12</f>
        <v>36484.5</v>
      </c>
      <c r="C534" s="3"/>
      <c r="D534" s="338"/>
      <c r="E534" s="339"/>
      <c r="F534" s="340"/>
      <c r="G534" s="333"/>
      <c r="H534" s="341"/>
      <c r="I534" s="339"/>
    </row>
    <row r="535" spans="1:9" x14ac:dyDescent="0.25">
      <c r="A535" s="8" t="s">
        <v>52</v>
      </c>
      <c r="B535" s="8"/>
      <c r="C535" s="22" t="s">
        <v>33</v>
      </c>
      <c r="D535" s="12"/>
      <c r="E535" s="4"/>
      <c r="F535" s="24"/>
      <c r="G535" s="7"/>
      <c r="H535" s="25"/>
      <c r="I535" s="4"/>
    </row>
    <row r="536" spans="1:9" ht="28.5" hidden="1" outlineLevel="2" x14ac:dyDescent="0.25">
      <c r="A536" s="2" t="s">
        <v>1</v>
      </c>
      <c r="B536" s="2" t="s">
        <v>2</v>
      </c>
      <c r="C536" s="2"/>
      <c r="D536" s="12"/>
      <c r="E536" s="4"/>
      <c r="F536" s="24"/>
      <c r="G536" s="7"/>
      <c r="H536" s="25"/>
      <c r="I536" s="4"/>
    </row>
    <row r="537" spans="1:9" ht="15.75" hidden="1" outlineLevel="2" x14ac:dyDescent="0.25">
      <c r="A537" s="13">
        <v>45291.999803240738</v>
      </c>
      <c r="B537" s="14">
        <v>1487</v>
      </c>
      <c r="C537" s="15">
        <v>1.5E-3</v>
      </c>
      <c r="D537" s="12"/>
      <c r="E537" s="4"/>
      <c r="F537" s="24"/>
      <c r="G537" s="7"/>
      <c r="H537" s="25"/>
      <c r="I537" s="4"/>
    </row>
    <row r="538" spans="1:9" ht="15.75" hidden="1" outlineLevel="2" x14ac:dyDescent="0.25">
      <c r="A538" s="13">
        <v>45322.999803240738</v>
      </c>
      <c r="B538" s="14">
        <v>1787</v>
      </c>
      <c r="C538" s="15">
        <v>2E-3</v>
      </c>
      <c r="D538" s="12"/>
      <c r="E538" s="4"/>
      <c r="F538" s="24"/>
      <c r="G538" s="7"/>
      <c r="H538" s="25"/>
      <c r="I538" s="4"/>
    </row>
    <row r="539" spans="1:9" ht="15.75" hidden="1" outlineLevel="2" x14ac:dyDescent="0.25">
      <c r="A539" s="13">
        <v>45351.999803240738</v>
      </c>
      <c r="B539" s="14">
        <v>2403</v>
      </c>
      <c r="C539" s="15">
        <v>2.5000000000000001E-3</v>
      </c>
      <c r="D539" s="12"/>
      <c r="E539" s="4"/>
      <c r="F539" s="24"/>
      <c r="G539" s="7"/>
      <c r="H539" s="25"/>
      <c r="I539" s="4"/>
    </row>
    <row r="540" spans="1:9" ht="15.75" hidden="1" outlineLevel="2" x14ac:dyDescent="0.25">
      <c r="A540" s="13">
        <v>45382.999803240738</v>
      </c>
      <c r="B540" s="14">
        <v>3324</v>
      </c>
      <c r="C540" s="15">
        <v>3.8E-3</v>
      </c>
      <c r="D540" s="12"/>
      <c r="E540" s="4"/>
      <c r="F540" s="24"/>
      <c r="G540" s="7"/>
      <c r="H540" s="25"/>
      <c r="I540" s="4"/>
    </row>
    <row r="541" spans="1:9" ht="15.75" hidden="1" outlineLevel="2" x14ac:dyDescent="0.25">
      <c r="A541" s="13">
        <v>45412.999803240738</v>
      </c>
      <c r="B541" s="14">
        <v>2571</v>
      </c>
      <c r="C541" s="15">
        <v>3.0000000000000001E-3</v>
      </c>
      <c r="D541" s="12"/>
      <c r="E541" s="4"/>
      <c r="F541" s="24"/>
      <c r="G541" s="7"/>
      <c r="H541" s="25"/>
      <c r="I541" s="4"/>
    </row>
    <row r="542" spans="1:9" ht="15.75" hidden="1" outlineLevel="2" x14ac:dyDescent="0.25">
      <c r="A542" s="13">
        <v>45443.999803240738</v>
      </c>
      <c r="B542" s="14">
        <v>2417</v>
      </c>
      <c r="C542" s="15">
        <v>3.3E-3</v>
      </c>
      <c r="D542" s="12"/>
      <c r="E542" s="4"/>
      <c r="F542" s="24"/>
      <c r="G542" s="7"/>
      <c r="H542" s="25"/>
      <c r="I542" s="4"/>
    </row>
    <row r="543" spans="1:9" ht="15.75" hidden="1" outlineLevel="2" x14ac:dyDescent="0.25">
      <c r="A543" s="13">
        <v>45473.999803240738</v>
      </c>
      <c r="B543" s="14">
        <v>1960</v>
      </c>
      <c r="C543" s="15">
        <v>2.8E-3</v>
      </c>
      <c r="D543" s="12"/>
      <c r="E543" s="4"/>
      <c r="F543" s="24"/>
      <c r="G543" s="7"/>
      <c r="H543" s="25"/>
      <c r="I543" s="4"/>
    </row>
    <row r="544" spans="1:9" ht="15.75" hidden="1" outlineLevel="2" x14ac:dyDescent="0.25">
      <c r="A544" s="13">
        <v>45504.999803240738</v>
      </c>
      <c r="B544" s="14">
        <v>1577</v>
      </c>
      <c r="C544" s="15">
        <v>2.2000000000000001E-3</v>
      </c>
      <c r="D544" s="12"/>
      <c r="E544" s="4"/>
      <c r="F544" s="24"/>
      <c r="G544" s="7"/>
      <c r="H544" s="25"/>
      <c r="I544" s="4"/>
    </row>
    <row r="545" spans="1:9" ht="15.75" hidden="1" outlineLevel="2" x14ac:dyDescent="0.25">
      <c r="A545" s="13">
        <v>45535.999803240738</v>
      </c>
      <c r="B545" s="14">
        <v>1348</v>
      </c>
      <c r="C545" s="15">
        <v>1.6999999999999999E-3</v>
      </c>
      <c r="D545" s="12"/>
      <c r="E545" s="4"/>
      <c r="F545" s="24"/>
      <c r="G545" s="7"/>
      <c r="H545" s="25"/>
      <c r="I545" s="4"/>
    </row>
    <row r="546" spans="1:9" ht="15.75" hidden="1" outlineLevel="2" x14ac:dyDescent="0.25">
      <c r="A546" s="13">
        <v>45565.999803240738</v>
      </c>
      <c r="B546" s="14">
        <v>1831</v>
      </c>
      <c r="C546" s="15">
        <v>2E-3</v>
      </c>
      <c r="D546" s="12"/>
      <c r="E546" s="4"/>
      <c r="F546" s="24"/>
      <c r="G546" s="7"/>
      <c r="H546" s="25"/>
      <c r="I546" s="4"/>
    </row>
    <row r="547" spans="1:9" ht="15.75" hidden="1" outlineLevel="2" x14ac:dyDescent="0.25">
      <c r="A547" s="13">
        <v>45596.999803240738</v>
      </c>
      <c r="B547" s="14">
        <v>1628</v>
      </c>
      <c r="C547" s="15">
        <v>1.8E-3</v>
      </c>
      <c r="D547" s="12"/>
      <c r="E547" s="4"/>
      <c r="F547" s="24"/>
      <c r="G547" s="7"/>
      <c r="H547" s="25"/>
      <c r="I547" s="4"/>
    </row>
    <row r="548" spans="1:9" ht="15.75" hidden="1" outlineLevel="2" x14ac:dyDescent="0.25">
      <c r="A548" s="13">
        <v>45626.999803240738</v>
      </c>
      <c r="B548" s="14">
        <v>1384</v>
      </c>
      <c r="C548" s="15">
        <v>1.4E-3</v>
      </c>
      <c r="D548" s="12"/>
      <c r="E548" s="4"/>
      <c r="F548" s="24"/>
      <c r="G548" s="7"/>
      <c r="H548" s="25"/>
      <c r="I548" s="4"/>
    </row>
    <row r="549" spans="1:9" ht="15.75" hidden="1" outlineLevel="2" x14ac:dyDescent="0.25">
      <c r="A549" s="13">
        <v>45657.999803240738</v>
      </c>
      <c r="B549" s="14">
        <v>1217</v>
      </c>
      <c r="C549" s="15">
        <v>1.2999999999999999E-3</v>
      </c>
      <c r="D549" s="12"/>
      <c r="E549" s="4"/>
      <c r="F549" s="24"/>
      <c r="G549" s="7"/>
      <c r="H549" s="25"/>
      <c r="I549" s="4"/>
    </row>
    <row r="550" spans="1:9" ht="15.75" hidden="1" outlineLevel="2" x14ac:dyDescent="0.25">
      <c r="A550" s="13">
        <v>45688.999803240738</v>
      </c>
      <c r="B550" s="14">
        <v>1423</v>
      </c>
      <c r="C550" s="15">
        <v>1.6000000000000001E-3</v>
      </c>
      <c r="D550" s="12"/>
      <c r="E550" s="4"/>
      <c r="F550" s="24"/>
      <c r="G550" s="7"/>
      <c r="H550" s="25"/>
      <c r="I550" s="4"/>
    </row>
    <row r="551" spans="1:9" ht="15.75" hidden="1" outlineLevel="2" x14ac:dyDescent="0.25">
      <c r="A551" s="13">
        <v>45716.999803240738</v>
      </c>
      <c r="B551" s="14">
        <v>2215</v>
      </c>
      <c r="C551" s="15">
        <v>2.3E-3</v>
      </c>
      <c r="D551" s="12"/>
      <c r="E551" s="4"/>
      <c r="F551" s="24"/>
      <c r="G551" s="7"/>
      <c r="H551" s="25"/>
      <c r="I551" s="4"/>
    </row>
    <row r="552" spans="1:9" ht="15.75" hidden="1" outlineLevel="2" x14ac:dyDescent="0.25">
      <c r="A552" s="13">
        <v>45747.999803240738</v>
      </c>
      <c r="B552" s="14">
        <v>2362</v>
      </c>
      <c r="C552" s="15">
        <v>2.5999999999999999E-3</v>
      </c>
      <c r="D552" s="12"/>
      <c r="E552" s="4"/>
      <c r="F552" s="24"/>
      <c r="G552" s="7"/>
      <c r="H552" s="25"/>
      <c r="I552" s="4"/>
    </row>
    <row r="553" spans="1:9" ht="15.75" hidden="1" outlineLevel="2" x14ac:dyDescent="0.25">
      <c r="A553" s="13">
        <v>45777.999803240738</v>
      </c>
      <c r="B553" s="14">
        <v>2099</v>
      </c>
      <c r="C553" s="15">
        <v>2.5000000000000001E-3</v>
      </c>
      <c r="D553" s="12"/>
      <c r="E553" s="4"/>
      <c r="F553" s="24"/>
      <c r="G553" s="7"/>
      <c r="H553" s="25"/>
      <c r="I553" s="4"/>
    </row>
    <row r="554" spans="1:9" ht="15.75" hidden="1" outlineLevel="2" x14ac:dyDescent="0.25">
      <c r="A554" s="13">
        <v>45808.999803240738</v>
      </c>
      <c r="B554" s="14">
        <v>2236</v>
      </c>
      <c r="C554" s="15">
        <v>2.8999999999999998E-3</v>
      </c>
      <c r="D554" s="12"/>
      <c r="E554" s="4"/>
      <c r="F554" s="24"/>
      <c r="G554" s="7"/>
      <c r="H554" s="25"/>
      <c r="I554" s="4"/>
    </row>
    <row r="555" spans="1:9" ht="15.75" hidden="1" outlineLevel="2" x14ac:dyDescent="0.25">
      <c r="A555" s="13">
        <v>45838.999803240738</v>
      </c>
      <c r="B555" s="14">
        <v>1555</v>
      </c>
      <c r="C555" s="15">
        <v>2E-3</v>
      </c>
      <c r="D555" s="12"/>
      <c r="E555" s="4"/>
      <c r="F555" s="24"/>
      <c r="G555" s="7"/>
      <c r="H555" s="25"/>
      <c r="I555" s="4"/>
    </row>
    <row r="556" spans="1:9" ht="15.75" hidden="1" outlineLevel="2" x14ac:dyDescent="0.25">
      <c r="A556" s="13">
        <v>45869.999803240738</v>
      </c>
      <c r="B556" s="14">
        <v>1433</v>
      </c>
      <c r="C556" s="15">
        <v>1.9E-3</v>
      </c>
      <c r="D556" s="12"/>
      <c r="E556" s="4"/>
      <c r="F556" s="24"/>
      <c r="G556" s="7"/>
      <c r="H556" s="25"/>
      <c r="I556" s="4"/>
    </row>
    <row r="557" spans="1:9" ht="15.75" hidden="1" outlineLevel="2" x14ac:dyDescent="0.25">
      <c r="A557" s="13">
        <v>45900.999803240738</v>
      </c>
      <c r="B557" s="14">
        <v>1583</v>
      </c>
      <c r="C557" s="15">
        <v>1.6999999999999999E-3</v>
      </c>
      <c r="D557" s="12"/>
      <c r="E557" s="4"/>
      <c r="F557" s="24"/>
      <c r="G557" s="7"/>
      <c r="H557" s="25"/>
      <c r="I557" s="4"/>
    </row>
    <row r="558" spans="1:9" ht="15.75" hidden="1" outlineLevel="2" x14ac:dyDescent="0.25">
      <c r="A558" s="13">
        <v>45930.999803240738</v>
      </c>
      <c r="B558" s="14">
        <v>1542</v>
      </c>
      <c r="C558" s="15">
        <v>1.6000000000000001E-3</v>
      </c>
      <c r="D558" s="12"/>
      <c r="E558" s="4"/>
      <c r="F558" s="24"/>
      <c r="G558" s="7"/>
      <c r="H558" s="25"/>
      <c r="I558" s="4"/>
    </row>
    <row r="559" spans="1:9" ht="15.75" hidden="1" outlineLevel="2" x14ac:dyDescent="0.25">
      <c r="A559" s="13">
        <v>45961.999803240738</v>
      </c>
      <c r="B559" s="14">
        <v>1577</v>
      </c>
      <c r="C559" s="15">
        <v>1.6000000000000001E-3</v>
      </c>
      <c r="D559" s="12"/>
      <c r="E559" s="4"/>
      <c r="F559" s="24"/>
      <c r="G559" s="7"/>
      <c r="H559" s="25"/>
      <c r="I559" s="4"/>
    </row>
    <row r="560" spans="1:9" ht="15.75" hidden="1" outlineLevel="2" x14ac:dyDescent="0.25">
      <c r="A560" s="13">
        <v>45991.999803240738</v>
      </c>
      <c r="B560" s="14">
        <v>1281</v>
      </c>
      <c r="C560" s="15">
        <v>1.2999999999999999E-3</v>
      </c>
      <c r="D560" s="12"/>
      <c r="E560" s="4"/>
      <c r="F560" s="24"/>
      <c r="G560" s="7"/>
      <c r="H560" s="25"/>
      <c r="I560" s="4"/>
    </row>
    <row r="561" spans="1:9" collapsed="1" x14ac:dyDescent="0.25">
      <c r="A561" s="10" t="s">
        <v>3</v>
      </c>
      <c r="B561" s="11">
        <f>AVERAGE(B537:B560)</f>
        <v>1843.3333333333333</v>
      </c>
      <c r="C561" s="11"/>
      <c r="D561" s="338">
        <v>1120000</v>
      </c>
      <c r="E561" s="339"/>
      <c r="F561" s="340">
        <f>B562/D561</f>
        <v>1.975E-2</v>
      </c>
      <c r="G561" s="333"/>
      <c r="H561" s="341">
        <f>$H$29*(F561/$F$29)</f>
        <v>1.975E-2</v>
      </c>
      <c r="I561" s="339">
        <f>D561*H561</f>
        <v>22120</v>
      </c>
    </row>
    <row r="562" spans="1:9" x14ac:dyDescent="0.25">
      <c r="A562" s="9" t="s">
        <v>4</v>
      </c>
      <c r="B562" s="3">
        <f>B561*12</f>
        <v>22120</v>
      </c>
      <c r="C562" s="3"/>
      <c r="D562" s="338"/>
      <c r="E562" s="339"/>
      <c r="F562" s="340"/>
      <c r="G562" s="333"/>
      <c r="H562" s="341"/>
      <c r="I562" s="339"/>
    </row>
    <row r="563" spans="1:9" x14ac:dyDescent="0.25">
      <c r="A563" s="8" t="s">
        <v>53</v>
      </c>
      <c r="B563" s="8"/>
      <c r="C563" s="22" t="s">
        <v>33</v>
      </c>
      <c r="D563" s="12"/>
      <c r="E563" s="4"/>
      <c r="F563" s="24"/>
      <c r="G563" s="7"/>
      <c r="H563" s="25"/>
      <c r="I563" s="4"/>
    </row>
    <row r="564" spans="1:9" ht="28.5" hidden="1" outlineLevel="2" x14ac:dyDescent="0.25">
      <c r="A564" s="2" t="s">
        <v>1</v>
      </c>
      <c r="B564" s="2" t="s">
        <v>2</v>
      </c>
      <c r="C564" s="2"/>
      <c r="D564" s="12"/>
      <c r="E564" s="4"/>
      <c r="F564" s="24"/>
      <c r="G564" s="7"/>
      <c r="H564" s="25"/>
      <c r="I564" s="4"/>
    </row>
    <row r="565" spans="1:9" ht="15.75" hidden="1" outlineLevel="2" x14ac:dyDescent="0.25">
      <c r="A565" s="13">
        <v>45291.999803240738</v>
      </c>
      <c r="B565" s="14">
        <v>2120</v>
      </c>
      <c r="C565" s="15">
        <v>1.8E-3</v>
      </c>
      <c r="D565" s="12"/>
      <c r="E565" s="4"/>
      <c r="F565" s="24"/>
      <c r="G565" s="7"/>
      <c r="H565" s="25"/>
      <c r="I565" s="4"/>
    </row>
    <row r="566" spans="1:9" ht="15.75" hidden="1" outlineLevel="2" x14ac:dyDescent="0.25">
      <c r="A566" s="13">
        <v>45322.999803240738</v>
      </c>
      <c r="B566" s="14">
        <v>2548</v>
      </c>
      <c r="C566" s="15">
        <v>2.3E-3</v>
      </c>
      <c r="D566" s="12"/>
      <c r="E566" s="4"/>
      <c r="F566" s="24"/>
      <c r="G566" s="7"/>
      <c r="H566" s="25"/>
      <c r="I566" s="4"/>
    </row>
    <row r="567" spans="1:9" ht="15.75" hidden="1" outlineLevel="2" x14ac:dyDescent="0.25">
      <c r="A567" s="13">
        <v>45351.999803240738</v>
      </c>
      <c r="B567" s="14">
        <v>4033</v>
      </c>
      <c r="C567" s="15">
        <v>3.5000000000000001E-3</v>
      </c>
      <c r="D567" s="12"/>
      <c r="E567" s="4"/>
      <c r="F567" s="24"/>
      <c r="G567" s="7"/>
      <c r="H567" s="25"/>
      <c r="I567" s="4"/>
    </row>
    <row r="568" spans="1:9" ht="15.75" hidden="1" outlineLevel="2" x14ac:dyDescent="0.25">
      <c r="A568" s="13">
        <v>45382.999803240738</v>
      </c>
      <c r="B568" s="14">
        <v>4677</v>
      </c>
      <c r="C568" s="15">
        <v>4.4000000000000003E-3</v>
      </c>
      <c r="D568" s="12"/>
      <c r="E568" s="4"/>
      <c r="F568" s="24"/>
      <c r="G568" s="7"/>
      <c r="H568" s="25"/>
      <c r="I568" s="4"/>
    </row>
    <row r="569" spans="1:9" ht="15.75" hidden="1" outlineLevel="2" x14ac:dyDescent="0.25">
      <c r="A569" s="13">
        <v>45412.999803240738</v>
      </c>
      <c r="B569" s="14">
        <v>4103</v>
      </c>
      <c r="C569" s="15">
        <v>3.8999999999999998E-3</v>
      </c>
      <c r="D569" s="12"/>
      <c r="E569" s="4"/>
      <c r="F569" s="24"/>
      <c r="G569" s="7"/>
      <c r="H569" s="25"/>
      <c r="I569" s="4"/>
    </row>
    <row r="570" spans="1:9" ht="15.75" hidden="1" outlineLevel="2" x14ac:dyDescent="0.25">
      <c r="A570" s="13">
        <v>45443.999803240738</v>
      </c>
      <c r="B570" s="14">
        <v>4221</v>
      </c>
      <c r="C570" s="15">
        <v>4.5999999999999999E-3</v>
      </c>
      <c r="D570" s="12"/>
      <c r="E570" s="4"/>
      <c r="F570" s="24"/>
      <c r="G570" s="7"/>
      <c r="H570" s="25"/>
      <c r="I570" s="4"/>
    </row>
    <row r="571" spans="1:9" ht="15.75" hidden="1" outlineLevel="2" x14ac:dyDescent="0.25">
      <c r="A571" s="13">
        <v>45473.999803240738</v>
      </c>
      <c r="B571" s="14">
        <v>3566</v>
      </c>
      <c r="C571" s="15">
        <v>4.1000000000000003E-3</v>
      </c>
      <c r="D571" s="12"/>
      <c r="E571" s="4"/>
      <c r="F571" s="24"/>
      <c r="G571" s="7"/>
      <c r="H571" s="25"/>
      <c r="I571" s="4"/>
    </row>
    <row r="572" spans="1:9" ht="15.75" hidden="1" outlineLevel="2" x14ac:dyDescent="0.25">
      <c r="A572" s="13">
        <v>45504.999803240738</v>
      </c>
      <c r="B572" s="14">
        <v>2827</v>
      </c>
      <c r="C572" s="15">
        <v>3.2000000000000002E-3</v>
      </c>
      <c r="D572" s="12"/>
      <c r="E572" s="4"/>
      <c r="F572" s="24"/>
      <c r="G572" s="7"/>
      <c r="H572" s="25"/>
      <c r="I572" s="4"/>
    </row>
    <row r="573" spans="1:9" ht="15.75" hidden="1" outlineLevel="2" x14ac:dyDescent="0.25">
      <c r="A573" s="13">
        <v>45535.999803240738</v>
      </c>
      <c r="B573" s="14">
        <v>2671</v>
      </c>
      <c r="C573" s="15">
        <v>2.7000000000000001E-3</v>
      </c>
      <c r="D573" s="12"/>
      <c r="E573" s="4"/>
      <c r="F573" s="24"/>
      <c r="G573" s="7"/>
      <c r="H573" s="25"/>
      <c r="I573" s="4"/>
    </row>
    <row r="574" spans="1:9" ht="15.75" hidden="1" outlineLevel="2" x14ac:dyDescent="0.25">
      <c r="A574" s="13">
        <v>45565.999803240738</v>
      </c>
      <c r="B574" s="14">
        <v>2778</v>
      </c>
      <c r="C574" s="15">
        <v>2.5000000000000001E-3</v>
      </c>
      <c r="D574" s="12"/>
      <c r="E574" s="4"/>
      <c r="F574" s="24"/>
      <c r="G574" s="7"/>
      <c r="H574" s="25"/>
      <c r="I574" s="4"/>
    </row>
    <row r="575" spans="1:9" ht="15.75" hidden="1" outlineLevel="2" x14ac:dyDescent="0.25">
      <c r="A575" s="13">
        <v>45596.999803240738</v>
      </c>
      <c r="B575" s="14">
        <v>2680</v>
      </c>
      <c r="C575" s="15">
        <v>2.3E-3</v>
      </c>
      <c r="D575" s="12"/>
      <c r="E575" s="4"/>
      <c r="F575" s="24"/>
      <c r="G575" s="7"/>
      <c r="H575" s="25"/>
      <c r="I575" s="4"/>
    </row>
    <row r="576" spans="1:9" ht="15.75" hidden="1" outlineLevel="2" x14ac:dyDescent="0.25">
      <c r="A576" s="13">
        <v>45626.999803240738</v>
      </c>
      <c r="B576" s="14">
        <v>2236</v>
      </c>
      <c r="C576" s="15">
        <v>1.9E-3</v>
      </c>
      <c r="D576" s="12"/>
      <c r="E576" s="4"/>
      <c r="F576" s="24"/>
      <c r="G576" s="7"/>
      <c r="H576" s="25"/>
      <c r="I576" s="4"/>
    </row>
    <row r="577" spans="1:9" ht="15.75" hidden="1" outlineLevel="2" x14ac:dyDescent="0.25">
      <c r="A577" s="13">
        <v>45657.999803240738</v>
      </c>
      <c r="B577" s="14">
        <v>2165</v>
      </c>
      <c r="C577" s="15">
        <v>1.9E-3</v>
      </c>
      <c r="D577" s="12"/>
      <c r="E577" s="4"/>
      <c r="F577" s="24"/>
      <c r="G577" s="7"/>
      <c r="H577" s="25"/>
      <c r="I577" s="4"/>
    </row>
    <row r="578" spans="1:9" ht="15.75" hidden="1" outlineLevel="2" x14ac:dyDescent="0.25">
      <c r="A578" s="13">
        <v>45688.999803240738</v>
      </c>
      <c r="B578" s="14">
        <v>2299</v>
      </c>
      <c r="C578" s="15">
        <v>2.0999999999999999E-3</v>
      </c>
      <c r="D578" s="12"/>
      <c r="E578" s="4"/>
      <c r="F578" s="24"/>
      <c r="G578" s="7"/>
      <c r="H578" s="25"/>
      <c r="I578" s="4"/>
    </row>
    <row r="579" spans="1:9" ht="15.75" hidden="1" outlineLevel="2" x14ac:dyDescent="0.25">
      <c r="A579" s="13">
        <v>45716.999803240738</v>
      </c>
      <c r="B579" s="14">
        <v>3431</v>
      </c>
      <c r="C579" s="15">
        <v>3.0999999999999999E-3</v>
      </c>
      <c r="D579" s="12"/>
      <c r="E579" s="4"/>
      <c r="F579" s="24"/>
      <c r="G579" s="7"/>
      <c r="H579" s="25"/>
      <c r="I579" s="4"/>
    </row>
    <row r="580" spans="1:9" ht="15.75" hidden="1" outlineLevel="2" x14ac:dyDescent="0.25">
      <c r="A580" s="13">
        <v>45747.999803240738</v>
      </c>
      <c r="B580" s="14">
        <v>3773</v>
      </c>
      <c r="C580" s="15">
        <v>3.7000000000000002E-3</v>
      </c>
      <c r="D580" s="12"/>
      <c r="E580" s="4"/>
      <c r="F580" s="24"/>
      <c r="G580" s="7"/>
      <c r="H580" s="25"/>
      <c r="I580" s="4"/>
    </row>
    <row r="581" spans="1:9" ht="15.75" hidden="1" outlineLevel="2" x14ac:dyDescent="0.25">
      <c r="A581" s="13">
        <v>45777.999803240738</v>
      </c>
      <c r="B581" s="14">
        <v>3204</v>
      </c>
      <c r="C581" s="15">
        <v>3.5000000000000001E-3</v>
      </c>
      <c r="D581" s="12"/>
      <c r="E581" s="4"/>
      <c r="F581" s="24"/>
      <c r="G581" s="7"/>
      <c r="H581" s="25"/>
      <c r="I581" s="4"/>
    </row>
    <row r="582" spans="1:9" ht="15.75" hidden="1" outlineLevel="2" x14ac:dyDescent="0.25">
      <c r="A582" s="13">
        <v>45808.999803240738</v>
      </c>
      <c r="B582" s="14">
        <v>3406</v>
      </c>
      <c r="C582" s="15">
        <v>3.8999999999999998E-3</v>
      </c>
      <c r="D582" s="12"/>
      <c r="E582" s="4"/>
      <c r="F582" s="24"/>
      <c r="G582" s="7"/>
      <c r="H582" s="25"/>
      <c r="I582" s="4"/>
    </row>
    <row r="583" spans="1:9" ht="15.75" hidden="1" outlineLevel="2" x14ac:dyDescent="0.25">
      <c r="A583" s="13">
        <v>45838.999803240738</v>
      </c>
      <c r="B583" s="14">
        <v>3058</v>
      </c>
      <c r="C583" s="15">
        <v>3.5000000000000001E-3</v>
      </c>
      <c r="D583" s="12"/>
      <c r="E583" s="4"/>
      <c r="F583" s="24"/>
      <c r="G583" s="7"/>
      <c r="H583" s="25"/>
      <c r="I583" s="4"/>
    </row>
    <row r="584" spans="1:9" ht="15.75" hidden="1" outlineLevel="2" x14ac:dyDescent="0.25">
      <c r="A584" s="13">
        <v>45869.999803240738</v>
      </c>
      <c r="B584" s="14">
        <v>2249</v>
      </c>
      <c r="C584" s="15">
        <v>2.5999999999999999E-3</v>
      </c>
      <c r="D584" s="12"/>
      <c r="E584" s="4"/>
      <c r="F584" s="24"/>
      <c r="G584" s="7"/>
      <c r="H584" s="25"/>
      <c r="I584" s="4"/>
    </row>
    <row r="585" spans="1:9" ht="15.75" hidden="1" outlineLevel="2" x14ac:dyDescent="0.25">
      <c r="A585" s="13">
        <v>45900.999803240738</v>
      </c>
      <c r="B585" s="14">
        <v>2220</v>
      </c>
      <c r="C585" s="15">
        <v>2.0999999999999999E-3</v>
      </c>
      <c r="D585" s="12"/>
      <c r="E585" s="4"/>
      <c r="F585" s="24"/>
      <c r="G585" s="7"/>
      <c r="H585" s="25"/>
      <c r="I585" s="4"/>
    </row>
    <row r="586" spans="1:9" ht="15.75" hidden="1" outlineLevel="2" x14ac:dyDescent="0.25">
      <c r="A586" s="13">
        <v>45930.999803240738</v>
      </c>
      <c r="B586" s="14">
        <v>2096</v>
      </c>
      <c r="C586" s="15">
        <v>1.9E-3</v>
      </c>
      <c r="D586" s="12"/>
      <c r="E586" s="4"/>
      <c r="F586" s="24"/>
      <c r="G586" s="7"/>
      <c r="H586" s="25"/>
      <c r="I586" s="4"/>
    </row>
    <row r="587" spans="1:9" ht="15.75" hidden="1" outlineLevel="2" x14ac:dyDescent="0.25">
      <c r="A587" s="13">
        <v>45961.999803240738</v>
      </c>
      <c r="B587" s="14">
        <v>2146</v>
      </c>
      <c r="C587" s="15">
        <v>2E-3</v>
      </c>
      <c r="D587" s="12"/>
      <c r="E587" s="4"/>
      <c r="F587" s="24"/>
      <c r="G587" s="7"/>
      <c r="H587" s="25"/>
      <c r="I587" s="4"/>
    </row>
    <row r="588" spans="1:9" ht="15.75" hidden="1" outlineLevel="2" x14ac:dyDescent="0.25">
      <c r="A588" s="13">
        <v>45991.999803240738</v>
      </c>
      <c r="B588" s="14">
        <v>1815</v>
      </c>
      <c r="C588" s="15">
        <v>1.8E-3</v>
      </c>
      <c r="D588" s="12"/>
      <c r="E588" s="4"/>
      <c r="F588" s="24"/>
      <c r="G588" s="7"/>
      <c r="H588" s="25"/>
      <c r="I588" s="4"/>
    </row>
    <row r="589" spans="1:9" collapsed="1" x14ac:dyDescent="0.25">
      <c r="A589" s="10" t="s">
        <v>3</v>
      </c>
      <c r="B589" s="11">
        <f>AVERAGE(B565:B588)</f>
        <v>2930.0833333333335</v>
      </c>
      <c r="C589" s="11"/>
      <c r="D589" s="338">
        <v>1060000</v>
      </c>
      <c r="E589" s="339"/>
      <c r="F589" s="340">
        <f>B590/D589</f>
        <v>3.3170754716981131E-2</v>
      </c>
      <c r="G589" s="333"/>
      <c r="H589" s="341">
        <f>$H$29*(F589/$F$29)</f>
        <v>3.3170754716981131E-2</v>
      </c>
      <c r="I589" s="339">
        <f>D589*H589</f>
        <v>35161</v>
      </c>
    </row>
    <row r="590" spans="1:9" x14ac:dyDescent="0.25">
      <c r="A590" s="9" t="s">
        <v>4</v>
      </c>
      <c r="B590" s="3">
        <f>B589*12</f>
        <v>35161</v>
      </c>
      <c r="C590" s="3"/>
      <c r="D590" s="338"/>
      <c r="E590" s="339"/>
      <c r="F590" s="340"/>
      <c r="G590" s="333"/>
      <c r="H590" s="341"/>
      <c r="I590" s="339"/>
    </row>
    <row r="591" spans="1:9" x14ac:dyDescent="0.25">
      <c r="A591" s="8" t="s">
        <v>54</v>
      </c>
      <c r="B591" s="8"/>
      <c r="C591" s="22" t="s">
        <v>33</v>
      </c>
      <c r="D591" s="12"/>
      <c r="E591" s="4"/>
      <c r="F591" s="24"/>
      <c r="G591" s="7"/>
      <c r="H591" s="25"/>
      <c r="I591" s="4"/>
    </row>
    <row r="592" spans="1:9" ht="28.5" hidden="1" outlineLevel="2" x14ac:dyDescent="0.25">
      <c r="A592" s="2" t="s">
        <v>1</v>
      </c>
      <c r="B592" s="2" t="s">
        <v>2</v>
      </c>
      <c r="C592" s="2"/>
      <c r="D592" s="12"/>
      <c r="E592" s="4"/>
      <c r="F592" s="24"/>
      <c r="G592" s="7"/>
      <c r="H592" s="25"/>
      <c r="I592" s="4"/>
    </row>
    <row r="593" spans="1:9" ht="15.75" hidden="1" outlineLevel="2" x14ac:dyDescent="0.25">
      <c r="A593" s="13">
        <v>45291.999803240738</v>
      </c>
      <c r="B593" s="14">
        <v>1685</v>
      </c>
      <c r="C593" s="15">
        <v>1.6999999999999999E-3</v>
      </c>
      <c r="D593" s="12"/>
      <c r="E593" s="4"/>
      <c r="F593" s="24"/>
      <c r="G593" s="7"/>
      <c r="H593" s="25"/>
      <c r="I593" s="4"/>
    </row>
    <row r="594" spans="1:9" ht="15.75" hidden="1" outlineLevel="2" x14ac:dyDescent="0.25">
      <c r="A594" s="13">
        <v>45322.999803240738</v>
      </c>
      <c r="B594" s="14">
        <v>2142</v>
      </c>
      <c r="C594" s="15">
        <v>2.3E-3</v>
      </c>
      <c r="D594" s="12"/>
      <c r="E594" s="4"/>
      <c r="F594" s="24"/>
      <c r="G594" s="7"/>
      <c r="H594" s="25"/>
      <c r="I594" s="4"/>
    </row>
    <row r="595" spans="1:9" ht="15.75" hidden="1" outlineLevel="2" x14ac:dyDescent="0.25">
      <c r="A595" s="13">
        <v>45351.999803240738</v>
      </c>
      <c r="B595" s="14">
        <v>3271</v>
      </c>
      <c r="C595" s="15">
        <v>3.5000000000000001E-3</v>
      </c>
      <c r="D595" s="12"/>
      <c r="E595" s="4"/>
      <c r="F595" s="24"/>
      <c r="G595" s="7"/>
      <c r="H595" s="25"/>
      <c r="I595" s="4"/>
    </row>
    <row r="596" spans="1:9" ht="15.75" hidden="1" outlineLevel="2" x14ac:dyDescent="0.25">
      <c r="A596" s="13">
        <v>45382.999803240738</v>
      </c>
      <c r="B596" s="14">
        <v>3518</v>
      </c>
      <c r="C596" s="15">
        <v>3.8999999999999998E-3</v>
      </c>
      <c r="D596" s="12"/>
      <c r="E596" s="4"/>
      <c r="F596" s="24"/>
      <c r="G596" s="7"/>
      <c r="H596" s="25"/>
      <c r="I596" s="4"/>
    </row>
    <row r="597" spans="1:9" ht="15.75" hidden="1" outlineLevel="2" x14ac:dyDescent="0.25">
      <c r="A597" s="13">
        <v>45412.999803240738</v>
      </c>
      <c r="B597" s="14">
        <v>3062</v>
      </c>
      <c r="C597" s="15">
        <v>3.5000000000000001E-3</v>
      </c>
      <c r="D597" s="12"/>
      <c r="E597" s="4"/>
      <c r="F597" s="24"/>
      <c r="G597" s="7"/>
      <c r="H597" s="25"/>
      <c r="I597" s="4"/>
    </row>
    <row r="598" spans="1:9" ht="15.75" hidden="1" outlineLevel="2" x14ac:dyDescent="0.25">
      <c r="A598" s="13">
        <v>45443.999803240738</v>
      </c>
      <c r="B598" s="14">
        <v>3207</v>
      </c>
      <c r="C598" s="15">
        <v>4.4000000000000003E-3</v>
      </c>
      <c r="D598" s="12"/>
      <c r="E598" s="4"/>
      <c r="F598" s="24"/>
      <c r="G598" s="7"/>
      <c r="H598" s="25"/>
      <c r="I598" s="4"/>
    </row>
    <row r="599" spans="1:9" ht="15.75" hidden="1" outlineLevel="2" x14ac:dyDescent="0.25">
      <c r="A599" s="13">
        <v>45473.999803240738</v>
      </c>
      <c r="B599" s="14">
        <v>2418</v>
      </c>
      <c r="C599" s="15">
        <v>3.3E-3</v>
      </c>
      <c r="D599" s="12"/>
      <c r="E599" s="4"/>
      <c r="F599" s="24"/>
      <c r="G599" s="7"/>
      <c r="H599" s="25"/>
      <c r="I599" s="4"/>
    </row>
    <row r="600" spans="1:9" ht="15.75" hidden="1" outlineLevel="2" x14ac:dyDescent="0.25">
      <c r="A600" s="13">
        <v>45504.999803240738</v>
      </c>
      <c r="B600" s="14">
        <v>1760</v>
      </c>
      <c r="C600" s="15">
        <v>2.3999999999999998E-3</v>
      </c>
      <c r="D600" s="12"/>
      <c r="E600" s="4"/>
      <c r="F600" s="24"/>
      <c r="G600" s="7"/>
      <c r="H600" s="25"/>
      <c r="I600" s="4"/>
    </row>
    <row r="601" spans="1:9" ht="15.75" hidden="1" outlineLevel="2" x14ac:dyDescent="0.25">
      <c r="A601" s="13">
        <v>45535.999803240738</v>
      </c>
      <c r="B601" s="14">
        <v>1826</v>
      </c>
      <c r="C601" s="15">
        <v>2.2000000000000001E-3</v>
      </c>
      <c r="D601" s="12"/>
      <c r="E601" s="4"/>
      <c r="F601" s="24"/>
      <c r="G601" s="7"/>
      <c r="H601" s="25"/>
      <c r="I601" s="4"/>
    </row>
    <row r="602" spans="1:9" ht="15.75" hidden="1" outlineLevel="2" x14ac:dyDescent="0.25">
      <c r="A602" s="13">
        <v>45565.999803240738</v>
      </c>
      <c r="B602" s="14">
        <v>2196</v>
      </c>
      <c r="C602" s="15">
        <v>2.3E-3</v>
      </c>
      <c r="D602" s="12"/>
      <c r="E602" s="4"/>
      <c r="F602" s="24"/>
      <c r="G602" s="7"/>
      <c r="H602" s="25"/>
      <c r="I602" s="4"/>
    </row>
    <row r="603" spans="1:9" ht="15.75" hidden="1" outlineLevel="2" x14ac:dyDescent="0.25">
      <c r="A603" s="13">
        <v>45596.999803240738</v>
      </c>
      <c r="B603" s="14">
        <v>2162</v>
      </c>
      <c r="C603" s="15">
        <v>2.2000000000000001E-3</v>
      </c>
      <c r="D603" s="12"/>
      <c r="E603" s="4"/>
      <c r="F603" s="24"/>
      <c r="G603" s="7"/>
      <c r="H603" s="25"/>
      <c r="I603" s="4"/>
    </row>
    <row r="604" spans="1:9" ht="15.75" hidden="1" outlineLevel="2" x14ac:dyDescent="0.25">
      <c r="A604" s="13">
        <v>45626.999803240738</v>
      </c>
      <c r="B604" s="14">
        <v>1671</v>
      </c>
      <c r="C604" s="15">
        <v>1.6000000000000001E-3</v>
      </c>
      <c r="D604" s="12"/>
      <c r="E604" s="4"/>
      <c r="F604" s="24"/>
      <c r="G604" s="7"/>
      <c r="H604" s="25"/>
      <c r="I604" s="4"/>
    </row>
    <row r="605" spans="1:9" ht="15.75" hidden="1" outlineLevel="2" x14ac:dyDescent="0.25">
      <c r="A605" s="13">
        <v>45657.999803240738</v>
      </c>
      <c r="B605" s="14">
        <v>1643</v>
      </c>
      <c r="C605" s="15">
        <v>1.6999999999999999E-3</v>
      </c>
      <c r="D605" s="12"/>
      <c r="E605" s="4"/>
      <c r="F605" s="24"/>
      <c r="G605" s="7"/>
      <c r="H605" s="25"/>
      <c r="I605" s="4"/>
    </row>
    <row r="606" spans="1:9" ht="15.75" hidden="1" outlineLevel="2" x14ac:dyDescent="0.25">
      <c r="A606" s="13">
        <v>45688.999803240738</v>
      </c>
      <c r="B606" s="14">
        <v>2122</v>
      </c>
      <c r="C606" s="15">
        <v>2.2000000000000001E-3</v>
      </c>
      <c r="D606" s="12"/>
      <c r="E606" s="4"/>
      <c r="F606" s="24"/>
      <c r="G606" s="7"/>
      <c r="H606" s="25"/>
      <c r="I606" s="4"/>
    </row>
    <row r="607" spans="1:9" ht="15.75" hidden="1" outlineLevel="2" x14ac:dyDescent="0.25">
      <c r="A607" s="13">
        <v>45716.999803240738</v>
      </c>
      <c r="B607" s="14">
        <v>2720</v>
      </c>
      <c r="C607" s="15">
        <v>2.7000000000000001E-3</v>
      </c>
      <c r="D607" s="12"/>
      <c r="E607" s="4"/>
      <c r="F607" s="24"/>
      <c r="G607" s="7"/>
      <c r="H607" s="25"/>
      <c r="I607" s="4"/>
    </row>
    <row r="608" spans="1:9" ht="15.75" hidden="1" outlineLevel="2" x14ac:dyDescent="0.25">
      <c r="A608" s="13">
        <v>45747.999803240738</v>
      </c>
      <c r="B608" s="14">
        <v>2842</v>
      </c>
      <c r="C608" s="15">
        <v>2.8999999999999998E-3</v>
      </c>
      <c r="D608" s="12"/>
      <c r="E608" s="4"/>
      <c r="F608" s="24"/>
      <c r="G608" s="7"/>
      <c r="H608" s="25"/>
      <c r="I608" s="4"/>
    </row>
    <row r="609" spans="1:9" ht="15.75" hidden="1" outlineLevel="2" x14ac:dyDescent="0.25">
      <c r="A609" s="13">
        <v>45777.999803240738</v>
      </c>
      <c r="B609" s="14">
        <v>2818</v>
      </c>
      <c r="C609" s="15">
        <v>3.2000000000000002E-3</v>
      </c>
      <c r="D609" s="12"/>
      <c r="E609" s="4"/>
      <c r="F609" s="24"/>
      <c r="G609" s="7"/>
      <c r="H609" s="25"/>
      <c r="I609" s="4"/>
    </row>
    <row r="610" spans="1:9" ht="15.75" hidden="1" outlineLevel="2" x14ac:dyDescent="0.25">
      <c r="A610" s="13">
        <v>45808.999803240738</v>
      </c>
      <c r="B610" s="14">
        <v>2819</v>
      </c>
      <c r="C610" s="15">
        <v>3.3999999999999998E-3</v>
      </c>
      <c r="D610" s="12"/>
      <c r="E610" s="4"/>
      <c r="F610" s="24"/>
      <c r="G610" s="7"/>
      <c r="H610" s="25"/>
      <c r="I610" s="4"/>
    </row>
    <row r="611" spans="1:9" ht="15.75" hidden="1" outlineLevel="2" x14ac:dyDescent="0.25">
      <c r="A611" s="13">
        <v>45838.999803240738</v>
      </c>
      <c r="B611" s="14">
        <v>2295</v>
      </c>
      <c r="C611" s="15">
        <v>2.8E-3</v>
      </c>
      <c r="D611" s="12"/>
      <c r="E611" s="4"/>
      <c r="F611" s="24"/>
      <c r="G611" s="7"/>
      <c r="H611" s="25"/>
      <c r="I611" s="4"/>
    </row>
    <row r="612" spans="1:9" ht="15.75" hidden="1" outlineLevel="2" x14ac:dyDescent="0.25">
      <c r="A612" s="13">
        <v>45869.999803240738</v>
      </c>
      <c r="B612" s="14">
        <v>1766</v>
      </c>
      <c r="C612" s="15">
        <v>2.2000000000000001E-3</v>
      </c>
      <c r="D612" s="12"/>
      <c r="E612" s="4"/>
      <c r="F612" s="24"/>
      <c r="G612" s="7"/>
      <c r="H612" s="25"/>
      <c r="I612" s="4"/>
    </row>
    <row r="613" spans="1:9" ht="15.75" hidden="1" outlineLevel="2" x14ac:dyDescent="0.25">
      <c r="A613" s="13">
        <v>45900.999803240738</v>
      </c>
      <c r="B613" s="14">
        <v>1737</v>
      </c>
      <c r="C613" s="15">
        <v>1.8E-3</v>
      </c>
      <c r="D613" s="12"/>
      <c r="E613" s="4"/>
      <c r="F613" s="24"/>
      <c r="G613" s="7"/>
      <c r="H613" s="25"/>
      <c r="I613" s="4"/>
    </row>
    <row r="614" spans="1:9" ht="15.75" hidden="1" outlineLevel="2" x14ac:dyDescent="0.25">
      <c r="A614" s="13">
        <v>45930.999803240738</v>
      </c>
      <c r="B614" s="14">
        <v>1925</v>
      </c>
      <c r="C614" s="15">
        <v>1.9E-3</v>
      </c>
      <c r="D614" s="12"/>
      <c r="E614" s="4"/>
      <c r="F614" s="24"/>
      <c r="G614" s="7"/>
      <c r="H614" s="25"/>
      <c r="I614" s="4"/>
    </row>
    <row r="615" spans="1:9" ht="15.75" hidden="1" outlineLevel="2" x14ac:dyDescent="0.25">
      <c r="A615" s="13">
        <v>45961.999803240738</v>
      </c>
      <c r="B615" s="14">
        <v>1689</v>
      </c>
      <c r="C615" s="15">
        <v>1.6999999999999999E-3</v>
      </c>
      <c r="D615" s="12"/>
      <c r="E615" s="4"/>
      <c r="F615" s="24"/>
      <c r="G615" s="7"/>
      <c r="H615" s="25"/>
      <c r="I615" s="4"/>
    </row>
    <row r="616" spans="1:9" ht="15.75" hidden="1" outlineLevel="2" x14ac:dyDescent="0.25">
      <c r="A616" s="13">
        <v>45991.999803240738</v>
      </c>
      <c r="B616" s="14">
        <v>1572</v>
      </c>
      <c r="C616" s="15">
        <v>1.6000000000000001E-3</v>
      </c>
      <c r="D616" s="12"/>
      <c r="E616" s="4"/>
      <c r="F616" s="24"/>
      <c r="G616" s="7"/>
      <c r="H616" s="25"/>
      <c r="I616" s="4"/>
    </row>
    <row r="617" spans="1:9" collapsed="1" x14ac:dyDescent="0.25">
      <c r="A617" s="10" t="s">
        <v>3</v>
      </c>
      <c r="B617" s="11">
        <f>AVERAGE(B593:B616)</f>
        <v>2286.0833333333335</v>
      </c>
      <c r="C617" s="11"/>
      <c r="D617" s="338">
        <v>1030000</v>
      </c>
      <c r="E617" s="339"/>
      <c r="F617" s="340">
        <f>B618/D617</f>
        <v>2.6633980582524273E-2</v>
      </c>
      <c r="G617" s="333"/>
      <c r="H617" s="341">
        <f>$H$29*(F617/$F$29)</f>
        <v>2.6633980582524277E-2</v>
      </c>
      <c r="I617" s="339">
        <f>D617*H617</f>
        <v>27433.000000000004</v>
      </c>
    </row>
    <row r="618" spans="1:9" x14ac:dyDescent="0.25">
      <c r="A618" s="9" t="s">
        <v>4</v>
      </c>
      <c r="B618" s="3">
        <f>B617*12</f>
        <v>27433</v>
      </c>
      <c r="C618" s="3"/>
      <c r="D618" s="338"/>
      <c r="E618" s="339"/>
      <c r="F618" s="340"/>
      <c r="G618" s="333"/>
      <c r="H618" s="341"/>
      <c r="I618" s="339"/>
    </row>
    <row r="619" spans="1:9" x14ac:dyDescent="0.25">
      <c r="A619" s="8" t="s">
        <v>55</v>
      </c>
      <c r="B619" s="8"/>
      <c r="C619" s="22" t="s">
        <v>33</v>
      </c>
      <c r="D619" s="12"/>
      <c r="E619" s="4"/>
      <c r="F619" s="24"/>
      <c r="G619" s="7"/>
      <c r="H619" s="25"/>
      <c r="I619" s="4"/>
    </row>
    <row r="620" spans="1:9" ht="28.5" hidden="1" outlineLevel="2" x14ac:dyDescent="0.25">
      <c r="A620" s="2" t="s">
        <v>1</v>
      </c>
      <c r="B620" s="2" t="s">
        <v>2</v>
      </c>
      <c r="C620" s="2"/>
      <c r="D620" s="12"/>
      <c r="E620" s="4"/>
      <c r="F620" s="24"/>
      <c r="G620" s="7"/>
      <c r="H620" s="25"/>
      <c r="I620" s="4"/>
    </row>
    <row r="621" spans="1:9" ht="15.75" hidden="1" outlineLevel="2" x14ac:dyDescent="0.25">
      <c r="A621" s="13">
        <v>45291.999803240738</v>
      </c>
      <c r="B621" s="14">
        <v>1677</v>
      </c>
      <c r="C621" s="15">
        <v>1.9E-3</v>
      </c>
      <c r="D621" s="12"/>
      <c r="E621" s="4"/>
      <c r="F621" s="24"/>
      <c r="G621" s="7"/>
      <c r="H621" s="25"/>
      <c r="I621" s="4"/>
    </row>
    <row r="622" spans="1:9" ht="15.75" hidden="1" outlineLevel="2" x14ac:dyDescent="0.25">
      <c r="A622" s="13">
        <v>45322.999803240738</v>
      </c>
      <c r="B622" s="14">
        <v>2026</v>
      </c>
      <c r="C622" s="15">
        <v>2.3999999999999998E-3</v>
      </c>
      <c r="D622" s="12"/>
      <c r="E622" s="4"/>
      <c r="F622" s="24"/>
      <c r="G622" s="7"/>
      <c r="H622" s="25"/>
      <c r="I622" s="4"/>
    </row>
    <row r="623" spans="1:9" ht="15.75" hidden="1" outlineLevel="2" x14ac:dyDescent="0.25">
      <c r="A623" s="13">
        <v>45351.999803240738</v>
      </c>
      <c r="B623" s="14">
        <v>2870</v>
      </c>
      <c r="C623" s="15">
        <v>3.2000000000000002E-3</v>
      </c>
      <c r="D623" s="12"/>
      <c r="E623" s="4"/>
      <c r="F623" s="24"/>
      <c r="G623" s="7"/>
      <c r="H623" s="25"/>
      <c r="I623" s="4"/>
    </row>
    <row r="624" spans="1:9" ht="15.75" hidden="1" outlineLevel="2" x14ac:dyDescent="0.25">
      <c r="A624" s="13">
        <v>45382.999803240738</v>
      </c>
      <c r="B624" s="14">
        <v>3567</v>
      </c>
      <c r="C624" s="15">
        <v>4.4999999999999997E-3</v>
      </c>
      <c r="D624" s="12"/>
      <c r="E624" s="4"/>
      <c r="F624" s="24"/>
      <c r="G624" s="7"/>
      <c r="H624" s="25"/>
      <c r="I624" s="4"/>
    </row>
    <row r="625" spans="1:9" ht="15.75" hidden="1" outlineLevel="2" x14ac:dyDescent="0.25">
      <c r="A625" s="13">
        <v>45412.999803240738</v>
      </c>
      <c r="B625" s="14">
        <v>3238</v>
      </c>
      <c r="C625" s="15">
        <v>4.1000000000000003E-3</v>
      </c>
      <c r="D625" s="12"/>
      <c r="E625" s="4"/>
      <c r="F625" s="24"/>
      <c r="G625" s="7"/>
      <c r="H625" s="25"/>
      <c r="I625" s="4"/>
    </row>
    <row r="626" spans="1:9" ht="15.75" hidden="1" outlineLevel="2" x14ac:dyDescent="0.25">
      <c r="A626" s="13">
        <v>45443.999803240738</v>
      </c>
      <c r="B626" s="14">
        <v>2788</v>
      </c>
      <c r="C626" s="15">
        <v>4.0000000000000001E-3</v>
      </c>
      <c r="D626" s="12"/>
      <c r="E626" s="4"/>
      <c r="F626" s="24"/>
      <c r="G626" s="7"/>
      <c r="H626" s="25"/>
      <c r="I626" s="4"/>
    </row>
    <row r="627" spans="1:9" ht="15.75" hidden="1" outlineLevel="2" x14ac:dyDescent="0.25">
      <c r="A627" s="13">
        <v>45473.999803240738</v>
      </c>
      <c r="B627" s="14">
        <v>2422</v>
      </c>
      <c r="C627" s="15">
        <v>3.5999999999999999E-3</v>
      </c>
      <c r="D627" s="12"/>
      <c r="E627" s="4"/>
      <c r="F627" s="24"/>
      <c r="G627" s="7"/>
      <c r="H627" s="25"/>
      <c r="I627" s="4"/>
    </row>
    <row r="628" spans="1:9" ht="15.75" hidden="1" outlineLevel="2" x14ac:dyDescent="0.25">
      <c r="A628" s="13">
        <v>45504.999803240738</v>
      </c>
      <c r="B628" s="14">
        <v>2010</v>
      </c>
      <c r="C628" s="15">
        <v>3.0999999999999999E-3</v>
      </c>
      <c r="D628" s="12"/>
      <c r="E628" s="4"/>
      <c r="F628" s="24"/>
      <c r="G628" s="7"/>
      <c r="H628" s="25"/>
      <c r="I628" s="4"/>
    </row>
    <row r="629" spans="1:9" ht="15.75" hidden="1" outlineLevel="2" x14ac:dyDescent="0.25">
      <c r="A629" s="13">
        <v>45535.999803240738</v>
      </c>
      <c r="B629" s="14">
        <v>2030</v>
      </c>
      <c r="C629" s="15">
        <v>2.8999999999999998E-3</v>
      </c>
      <c r="D629" s="12"/>
      <c r="E629" s="4"/>
      <c r="F629" s="24"/>
      <c r="G629" s="7"/>
      <c r="H629" s="25"/>
      <c r="I629" s="4"/>
    </row>
    <row r="630" spans="1:9" ht="15.75" hidden="1" outlineLevel="2" x14ac:dyDescent="0.25">
      <c r="A630" s="13">
        <v>45565.999803240738</v>
      </c>
      <c r="B630" s="14">
        <v>1916</v>
      </c>
      <c r="C630" s="15">
        <v>2.3E-3</v>
      </c>
      <c r="D630" s="12"/>
      <c r="E630" s="4"/>
      <c r="F630" s="24"/>
      <c r="G630" s="7"/>
      <c r="H630" s="25"/>
      <c r="I630" s="4"/>
    </row>
    <row r="631" spans="1:9" ht="15.75" hidden="1" outlineLevel="2" x14ac:dyDescent="0.25">
      <c r="A631" s="13">
        <v>45596.999803240738</v>
      </c>
      <c r="B631" s="14">
        <v>1636</v>
      </c>
      <c r="C631" s="15">
        <v>1.9E-3</v>
      </c>
      <c r="D631" s="12"/>
      <c r="E631" s="4"/>
      <c r="F631" s="24"/>
      <c r="G631" s="7"/>
      <c r="H631" s="25"/>
      <c r="I631" s="4"/>
    </row>
    <row r="632" spans="1:9" ht="15.75" hidden="1" outlineLevel="2" x14ac:dyDescent="0.25">
      <c r="A632" s="13">
        <v>45626.999803240738</v>
      </c>
      <c r="B632" s="14">
        <v>1583</v>
      </c>
      <c r="C632" s="15">
        <v>1.8E-3</v>
      </c>
      <c r="D632" s="12"/>
      <c r="E632" s="4"/>
      <c r="F632" s="24"/>
      <c r="G632" s="7"/>
      <c r="H632" s="25"/>
      <c r="I632" s="4"/>
    </row>
    <row r="633" spans="1:9" ht="15.75" hidden="1" outlineLevel="2" x14ac:dyDescent="0.25">
      <c r="A633" s="13">
        <v>45657.999803240738</v>
      </c>
      <c r="B633" s="14">
        <v>1665</v>
      </c>
      <c r="C633" s="15">
        <v>1.9E-3</v>
      </c>
      <c r="D633" s="12"/>
      <c r="E633" s="4"/>
      <c r="F633" s="24"/>
      <c r="G633" s="7"/>
      <c r="H633" s="25"/>
      <c r="I633" s="4"/>
    </row>
    <row r="634" spans="1:9" ht="15.75" hidden="1" outlineLevel="2" x14ac:dyDescent="0.25">
      <c r="A634" s="13">
        <v>45688.999803240738</v>
      </c>
      <c r="B634" s="14">
        <v>1598</v>
      </c>
      <c r="C634" s="15">
        <v>1.9E-3</v>
      </c>
      <c r="D634" s="12"/>
      <c r="E634" s="4"/>
      <c r="F634" s="24"/>
      <c r="G634" s="7"/>
      <c r="H634" s="25"/>
      <c r="I634" s="4"/>
    </row>
    <row r="635" spans="1:9" ht="15.75" hidden="1" outlineLevel="2" x14ac:dyDescent="0.25">
      <c r="A635" s="13">
        <v>45716.999803240738</v>
      </c>
      <c r="B635" s="14">
        <v>2468</v>
      </c>
      <c r="C635" s="15">
        <v>2.8E-3</v>
      </c>
      <c r="D635" s="12"/>
      <c r="E635" s="4"/>
      <c r="F635" s="24"/>
      <c r="G635" s="7"/>
      <c r="H635" s="25"/>
      <c r="I635" s="4"/>
    </row>
    <row r="636" spans="1:9" ht="15.75" hidden="1" outlineLevel="2" x14ac:dyDescent="0.25">
      <c r="A636" s="13">
        <v>45747.999803240738</v>
      </c>
      <c r="B636" s="14">
        <v>2819</v>
      </c>
      <c r="C636" s="15">
        <v>3.5000000000000001E-3</v>
      </c>
      <c r="D636" s="12"/>
      <c r="E636" s="4"/>
      <c r="F636" s="24"/>
      <c r="G636" s="7"/>
      <c r="H636" s="25"/>
      <c r="I636" s="4"/>
    </row>
    <row r="637" spans="1:9" ht="15.75" hidden="1" outlineLevel="2" x14ac:dyDescent="0.25">
      <c r="A637" s="13">
        <v>45777.999803240738</v>
      </c>
      <c r="B637" s="14">
        <v>2646</v>
      </c>
      <c r="C637" s="15">
        <v>3.5000000000000001E-3</v>
      </c>
      <c r="D637" s="12"/>
      <c r="E637" s="4"/>
      <c r="F637" s="24"/>
      <c r="G637" s="7"/>
      <c r="H637" s="25"/>
      <c r="I637" s="4"/>
    </row>
    <row r="638" spans="1:9" ht="15.75" hidden="1" outlineLevel="2" x14ac:dyDescent="0.25">
      <c r="A638" s="13">
        <v>45808.999803240738</v>
      </c>
      <c r="B638" s="14">
        <v>2703</v>
      </c>
      <c r="C638" s="15">
        <v>3.7000000000000002E-3</v>
      </c>
      <c r="D638" s="12"/>
      <c r="E638" s="4"/>
      <c r="F638" s="24"/>
      <c r="G638" s="7"/>
      <c r="H638" s="25"/>
      <c r="I638" s="4"/>
    </row>
    <row r="639" spans="1:9" ht="15.75" hidden="1" outlineLevel="2" x14ac:dyDescent="0.25">
      <c r="A639" s="13">
        <v>45838.999803240738</v>
      </c>
      <c r="B639" s="14">
        <v>2236</v>
      </c>
      <c r="C639" s="15">
        <v>3.0000000000000001E-3</v>
      </c>
      <c r="D639" s="12"/>
      <c r="E639" s="4"/>
      <c r="F639" s="24"/>
      <c r="G639" s="7"/>
      <c r="H639" s="25"/>
      <c r="I639" s="4"/>
    </row>
    <row r="640" spans="1:9" ht="15.75" hidden="1" outlineLevel="2" x14ac:dyDescent="0.25">
      <c r="A640" s="13">
        <v>45869.999803240738</v>
      </c>
      <c r="B640" s="14">
        <v>1886</v>
      </c>
      <c r="C640" s="15">
        <v>2.5999999999999999E-3</v>
      </c>
      <c r="D640" s="12"/>
      <c r="E640" s="4"/>
      <c r="F640" s="24"/>
      <c r="G640" s="7"/>
      <c r="H640" s="25"/>
      <c r="I640" s="4"/>
    </row>
    <row r="641" spans="1:9" ht="15.75" hidden="1" outlineLevel="2" x14ac:dyDescent="0.25">
      <c r="A641" s="13">
        <v>45900.999803240738</v>
      </c>
      <c r="B641" s="14">
        <v>1905</v>
      </c>
      <c r="C641" s="15">
        <v>2.2000000000000001E-3</v>
      </c>
      <c r="D641" s="12"/>
      <c r="E641" s="4"/>
      <c r="F641" s="24"/>
      <c r="G641" s="7"/>
      <c r="H641" s="25"/>
      <c r="I641" s="4"/>
    </row>
    <row r="642" spans="1:9" ht="15.75" hidden="1" outlineLevel="2" x14ac:dyDescent="0.25">
      <c r="A642" s="13">
        <v>45930.999803240738</v>
      </c>
      <c r="B642" s="14">
        <v>1764</v>
      </c>
      <c r="C642" s="15">
        <v>2E-3</v>
      </c>
      <c r="D642" s="12"/>
      <c r="E642" s="4"/>
      <c r="F642" s="24"/>
      <c r="G642" s="7"/>
      <c r="H642" s="25"/>
      <c r="I642" s="4"/>
    </row>
    <row r="643" spans="1:9" ht="15.75" hidden="1" outlineLevel="2" x14ac:dyDescent="0.25">
      <c r="A643" s="13">
        <v>45961.999803240738</v>
      </c>
      <c r="B643" s="14">
        <v>1554</v>
      </c>
      <c r="C643" s="15">
        <v>1.8E-3</v>
      </c>
      <c r="D643" s="12"/>
      <c r="E643" s="4"/>
      <c r="F643" s="24"/>
      <c r="G643" s="7"/>
      <c r="H643" s="25"/>
      <c r="I643" s="4"/>
    </row>
    <row r="644" spans="1:9" ht="15.75" hidden="1" outlineLevel="2" x14ac:dyDescent="0.25">
      <c r="A644" s="13">
        <v>45991.999803240738</v>
      </c>
      <c r="B644" s="14">
        <v>1388</v>
      </c>
      <c r="C644" s="15">
        <v>1.6000000000000001E-3</v>
      </c>
      <c r="D644" s="12"/>
      <c r="E644" s="4"/>
      <c r="F644" s="24"/>
      <c r="G644" s="7"/>
      <c r="H644" s="25"/>
      <c r="I644" s="4"/>
    </row>
    <row r="645" spans="1:9" collapsed="1" x14ac:dyDescent="0.25">
      <c r="A645" s="10" t="s">
        <v>3</v>
      </c>
      <c r="B645" s="11">
        <f>AVERAGE(B621:B644)</f>
        <v>2183.125</v>
      </c>
      <c r="C645" s="11"/>
      <c r="D645" s="338">
        <v>1050000</v>
      </c>
      <c r="E645" s="339"/>
      <c r="F645" s="340">
        <f>B646/D645</f>
        <v>2.495E-2</v>
      </c>
      <c r="G645" s="333"/>
      <c r="H645" s="341">
        <f>$H$29*(F645/$F$29)</f>
        <v>2.495E-2</v>
      </c>
      <c r="I645" s="339">
        <f>D645*H645</f>
        <v>26197.5</v>
      </c>
    </row>
    <row r="646" spans="1:9" x14ac:dyDescent="0.25">
      <c r="A646" s="9" t="s">
        <v>4</v>
      </c>
      <c r="B646" s="3">
        <f>B645*12</f>
        <v>26197.5</v>
      </c>
      <c r="C646" s="3"/>
      <c r="D646" s="338"/>
      <c r="E646" s="339"/>
      <c r="F646" s="340"/>
      <c r="G646" s="333"/>
      <c r="H646" s="341"/>
      <c r="I646" s="339"/>
    </row>
  </sheetData>
  <mergeCells count="144">
    <mergeCell ref="D645:D646"/>
    <mergeCell ref="E645:E646"/>
    <mergeCell ref="F645:F646"/>
    <mergeCell ref="G645:G646"/>
    <mergeCell ref="H645:H646"/>
    <mergeCell ref="I645:I646"/>
    <mergeCell ref="D617:D618"/>
    <mergeCell ref="E617:E618"/>
    <mergeCell ref="F617:F618"/>
    <mergeCell ref="G617:G618"/>
    <mergeCell ref="H617:H618"/>
    <mergeCell ref="I617:I618"/>
    <mergeCell ref="D589:D590"/>
    <mergeCell ref="E589:E590"/>
    <mergeCell ref="F589:F590"/>
    <mergeCell ref="G589:G590"/>
    <mergeCell ref="H589:H590"/>
    <mergeCell ref="I589:I590"/>
    <mergeCell ref="D561:D562"/>
    <mergeCell ref="E561:E562"/>
    <mergeCell ref="F561:F562"/>
    <mergeCell ref="G561:G562"/>
    <mergeCell ref="H561:H562"/>
    <mergeCell ref="I561:I562"/>
    <mergeCell ref="D533:D534"/>
    <mergeCell ref="E533:E534"/>
    <mergeCell ref="F533:F534"/>
    <mergeCell ref="G533:G534"/>
    <mergeCell ref="H533:H534"/>
    <mergeCell ref="I533:I534"/>
    <mergeCell ref="D505:D506"/>
    <mergeCell ref="E505:E506"/>
    <mergeCell ref="F505:F506"/>
    <mergeCell ref="G505:G506"/>
    <mergeCell ref="H505:H506"/>
    <mergeCell ref="I505:I506"/>
    <mergeCell ref="D477:D478"/>
    <mergeCell ref="E477:E478"/>
    <mergeCell ref="F477:F478"/>
    <mergeCell ref="G477:G478"/>
    <mergeCell ref="H477:H478"/>
    <mergeCell ref="I477:I478"/>
    <mergeCell ref="D449:D450"/>
    <mergeCell ref="E449:E450"/>
    <mergeCell ref="F449:F450"/>
    <mergeCell ref="G449:G450"/>
    <mergeCell ref="H449:H450"/>
    <mergeCell ref="I449:I450"/>
    <mergeCell ref="D421:D422"/>
    <mergeCell ref="E421:E422"/>
    <mergeCell ref="F421:F422"/>
    <mergeCell ref="G421:G422"/>
    <mergeCell ref="H421:H422"/>
    <mergeCell ref="I421:I422"/>
    <mergeCell ref="D393:D394"/>
    <mergeCell ref="E393:E394"/>
    <mergeCell ref="F393:F394"/>
    <mergeCell ref="G393:G394"/>
    <mergeCell ref="H393:H394"/>
    <mergeCell ref="I393:I394"/>
    <mergeCell ref="D365:D366"/>
    <mergeCell ref="E365:E366"/>
    <mergeCell ref="F365:F366"/>
    <mergeCell ref="G365:G366"/>
    <mergeCell ref="H365:H366"/>
    <mergeCell ref="I365:I366"/>
    <mergeCell ref="D337:D338"/>
    <mergeCell ref="E337:E338"/>
    <mergeCell ref="F337:F338"/>
    <mergeCell ref="G337:G338"/>
    <mergeCell ref="H337:H338"/>
    <mergeCell ref="I337:I338"/>
    <mergeCell ref="D309:D310"/>
    <mergeCell ref="E309:E310"/>
    <mergeCell ref="F309:F310"/>
    <mergeCell ref="G309:G310"/>
    <mergeCell ref="H309:H310"/>
    <mergeCell ref="I309:I310"/>
    <mergeCell ref="D281:D282"/>
    <mergeCell ref="E281:E282"/>
    <mergeCell ref="F281:F282"/>
    <mergeCell ref="G281:G282"/>
    <mergeCell ref="H281:H282"/>
    <mergeCell ref="I281:I282"/>
    <mergeCell ref="D253:D254"/>
    <mergeCell ref="E253:E254"/>
    <mergeCell ref="F253:F254"/>
    <mergeCell ref="G253:G254"/>
    <mergeCell ref="H253:H254"/>
    <mergeCell ref="I253:I254"/>
    <mergeCell ref="D225:D226"/>
    <mergeCell ref="E225:E226"/>
    <mergeCell ref="F225:F226"/>
    <mergeCell ref="G225:G226"/>
    <mergeCell ref="H225:H226"/>
    <mergeCell ref="I225:I226"/>
    <mergeCell ref="D197:D198"/>
    <mergeCell ref="E197:E198"/>
    <mergeCell ref="F197:F198"/>
    <mergeCell ref="G197:G198"/>
    <mergeCell ref="H197:H198"/>
    <mergeCell ref="I197:I198"/>
    <mergeCell ref="D169:D170"/>
    <mergeCell ref="E169:E170"/>
    <mergeCell ref="F169:F170"/>
    <mergeCell ref="G169:G170"/>
    <mergeCell ref="H169:H170"/>
    <mergeCell ref="I169:I170"/>
    <mergeCell ref="D141:D142"/>
    <mergeCell ref="E141:E142"/>
    <mergeCell ref="F141:F142"/>
    <mergeCell ref="G141:G142"/>
    <mergeCell ref="H141:H142"/>
    <mergeCell ref="I141:I142"/>
    <mergeCell ref="D113:D114"/>
    <mergeCell ref="E113:E114"/>
    <mergeCell ref="F113:F114"/>
    <mergeCell ref="G113:G114"/>
    <mergeCell ref="H113:H114"/>
    <mergeCell ref="I113:I114"/>
    <mergeCell ref="D85:D86"/>
    <mergeCell ref="E85:E86"/>
    <mergeCell ref="F85:F86"/>
    <mergeCell ref="G85:G86"/>
    <mergeCell ref="H85:H86"/>
    <mergeCell ref="I85:I86"/>
    <mergeCell ref="D57:D58"/>
    <mergeCell ref="E57:E58"/>
    <mergeCell ref="F57:F58"/>
    <mergeCell ref="G57:G58"/>
    <mergeCell ref="H57:H58"/>
    <mergeCell ref="I57:I58"/>
    <mergeCell ref="J1:N2"/>
    <mergeCell ref="A3:B3"/>
    <mergeCell ref="D29:D30"/>
    <mergeCell ref="E29:E30"/>
    <mergeCell ref="F29:F30"/>
    <mergeCell ref="G29:G30"/>
    <mergeCell ref="H29:H30"/>
    <mergeCell ref="I29:I30"/>
    <mergeCell ref="A1:C2"/>
    <mergeCell ref="D1:D2"/>
    <mergeCell ref="E1:E2"/>
    <mergeCell ref="I1:I2"/>
  </mergeCells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84FA-47AA-4708-A92D-0D2FCDCBF410}">
  <dimension ref="A1:H69"/>
  <sheetViews>
    <sheetView topLeftCell="A45" workbookViewId="0">
      <selection activeCell="J61" sqref="J61"/>
    </sheetView>
  </sheetViews>
  <sheetFormatPr defaultRowHeight="15" x14ac:dyDescent="0.25"/>
  <cols>
    <col min="1" max="1" width="24.42578125" customWidth="1"/>
    <col min="2" max="2" width="12.42578125" customWidth="1"/>
    <col min="3" max="3" width="11.28515625" customWidth="1"/>
    <col min="4" max="4" width="13.42578125" customWidth="1"/>
    <col min="5" max="5" width="13.140625" customWidth="1"/>
    <col min="6" max="6" width="12.7109375" customWidth="1"/>
    <col min="7" max="7" width="13.42578125" customWidth="1"/>
    <col min="8" max="8" width="10.85546875" customWidth="1"/>
  </cols>
  <sheetData>
    <row r="1" spans="1:7" ht="25.5" customHeight="1" x14ac:dyDescent="0.4">
      <c r="A1" s="75" t="s">
        <v>122</v>
      </c>
    </row>
    <row r="2" spans="1:7" x14ac:dyDescent="0.25">
      <c r="A2" t="s">
        <v>123</v>
      </c>
      <c r="B2" t="s">
        <v>124</v>
      </c>
    </row>
    <row r="3" spans="1:7" x14ac:dyDescent="0.25">
      <c r="A3" t="s">
        <v>125</v>
      </c>
      <c r="B3" t="s">
        <v>126</v>
      </c>
    </row>
    <row r="4" spans="1:7" x14ac:dyDescent="0.25">
      <c r="A4" t="s">
        <v>127</v>
      </c>
      <c r="B4" t="s">
        <v>128</v>
      </c>
    </row>
    <row r="5" spans="1:7" x14ac:dyDescent="0.25">
      <c r="A5" t="s">
        <v>129</v>
      </c>
      <c r="B5" t="s">
        <v>130</v>
      </c>
    </row>
    <row r="6" spans="1:7" x14ac:dyDescent="0.25">
      <c r="A6" t="s">
        <v>131</v>
      </c>
      <c r="B6" t="s">
        <v>132</v>
      </c>
    </row>
    <row r="8" spans="1:7" ht="78.75" x14ac:dyDescent="0.25">
      <c r="A8" s="74" t="s">
        <v>132</v>
      </c>
      <c r="B8" s="74" t="s">
        <v>133</v>
      </c>
      <c r="C8" s="74" t="s">
        <v>134</v>
      </c>
      <c r="D8" s="74" t="s">
        <v>135</v>
      </c>
      <c r="E8" s="74" t="s">
        <v>136</v>
      </c>
      <c r="F8" s="74" t="s">
        <v>137</v>
      </c>
      <c r="G8" s="74" t="s">
        <v>138</v>
      </c>
    </row>
    <row r="9" spans="1:7" x14ac:dyDescent="0.25">
      <c r="A9" s="76" t="s">
        <v>39</v>
      </c>
      <c r="B9" s="77">
        <v>8964</v>
      </c>
      <c r="C9" s="77">
        <v>7575</v>
      </c>
      <c r="D9" s="77">
        <v>1141</v>
      </c>
      <c r="E9" s="78">
        <v>4.78</v>
      </c>
      <c r="F9" s="78">
        <v>0.64</v>
      </c>
      <c r="G9" s="78">
        <v>730.24</v>
      </c>
    </row>
    <row r="10" spans="1:7" x14ac:dyDescent="0.25">
      <c r="A10" s="76" t="s">
        <v>38</v>
      </c>
      <c r="B10" s="77">
        <v>7620</v>
      </c>
      <c r="C10" s="77">
        <v>6783</v>
      </c>
      <c r="D10" s="77">
        <v>874</v>
      </c>
      <c r="E10" s="78">
        <v>8.8800000000000008</v>
      </c>
      <c r="F10" s="78">
        <v>0.69</v>
      </c>
      <c r="G10" s="78">
        <v>603.05999999999995</v>
      </c>
    </row>
    <row r="11" spans="1:7" x14ac:dyDescent="0.25">
      <c r="A11" s="76" t="s">
        <v>139</v>
      </c>
      <c r="B11" s="77">
        <v>127678</v>
      </c>
      <c r="C11" s="77">
        <v>106050</v>
      </c>
      <c r="D11" s="77">
        <v>7739</v>
      </c>
      <c r="E11" s="78">
        <v>4.17</v>
      </c>
      <c r="F11" s="78">
        <v>0.45</v>
      </c>
      <c r="G11" s="78">
        <v>3482.55</v>
      </c>
    </row>
    <row r="12" spans="1:7" x14ac:dyDescent="0.25">
      <c r="A12" s="76" t="s">
        <v>37</v>
      </c>
      <c r="B12" s="77">
        <v>2874</v>
      </c>
      <c r="C12" s="77">
        <v>2661</v>
      </c>
      <c r="D12" s="77">
        <v>299</v>
      </c>
      <c r="E12" s="78">
        <v>1.47</v>
      </c>
      <c r="F12" s="78">
        <v>0.31</v>
      </c>
      <c r="G12" s="78">
        <v>92.69</v>
      </c>
    </row>
    <row r="13" spans="1:7" x14ac:dyDescent="0.25">
      <c r="A13" s="76" t="s">
        <v>34</v>
      </c>
      <c r="B13" s="77">
        <v>20962</v>
      </c>
      <c r="C13" s="77">
        <v>19903</v>
      </c>
      <c r="D13" s="77">
        <v>1697</v>
      </c>
      <c r="E13" s="78">
        <v>6.05</v>
      </c>
      <c r="F13" s="78">
        <v>0.62</v>
      </c>
      <c r="G13" s="78">
        <v>1052.1400000000001</v>
      </c>
    </row>
    <row r="14" spans="1:7" x14ac:dyDescent="0.25">
      <c r="A14" s="76" t="s">
        <v>32</v>
      </c>
      <c r="B14" s="77">
        <v>61700</v>
      </c>
      <c r="C14" s="77">
        <v>51696</v>
      </c>
      <c r="D14" s="77">
        <v>6846</v>
      </c>
      <c r="E14" s="78">
        <v>8.61</v>
      </c>
      <c r="F14" s="78">
        <v>1.06</v>
      </c>
      <c r="G14" s="78">
        <v>7256.76</v>
      </c>
    </row>
    <row r="15" spans="1:7" x14ac:dyDescent="0.25">
      <c r="A15" s="76" t="s">
        <v>140</v>
      </c>
      <c r="B15" s="77">
        <v>312604</v>
      </c>
      <c r="C15" s="77">
        <v>238775</v>
      </c>
      <c r="D15" s="77">
        <v>15552</v>
      </c>
      <c r="E15" s="78">
        <v>4.5999999999999996</v>
      </c>
      <c r="F15" s="78">
        <v>0.43</v>
      </c>
      <c r="G15" s="78">
        <v>6687.36</v>
      </c>
    </row>
    <row r="16" spans="1:7" x14ac:dyDescent="0.25">
      <c r="A16" s="76" t="s">
        <v>40</v>
      </c>
      <c r="B16" s="77">
        <v>3829</v>
      </c>
      <c r="C16" s="77">
        <v>3423</v>
      </c>
      <c r="D16" s="77">
        <v>637</v>
      </c>
      <c r="E16" s="78">
        <v>40.44</v>
      </c>
      <c r="F16" s="78">
        <v>2.36</v>
      </c>
      <c r="G16" s="78">
        <v>1503.32</v>
      </c>
    </row>
    <row r="17" spans="1:8" x14ac:dyDescent="0.25">
      <c r="A17" s="76" t="s">
        <v>35</v>
      </c>
      <c r="B17" s="77">
        <v>5644</v>
      </c>
      <c r="C17" s="77">
        <v>6002</v>
      </c>
      <c r="D17" s="77">
        <v>677</v>
      </c>
      <c r="E17" s="78">
        <v>4.28</v>
      </c>
      <c r="F17" s="78">
        <v>0.61</v>
      </c>
      <c r="G17" s="78">
        <v>412.97</v>
      </c>
    </row>
    <row r="18" spans="1:8" ht="38.25" x14ac:dyDescent="0.25">
      <c r="A18" s="73" t="s">
        <v>141</v>
      </c>
      <c r="B18" s="77">
        <f>SUM(B9:B17)</f>
        <v>551875</v>
      </c>
      <c r="C18" s="77">
        <f>SUM(C9:C17)</f>
        <v>442868</v>
      </c>
      <c r="D18" s="79">
        <f>SUM(D9:D17)</f>
        <v>35462</v>
      </c>
      <c r="E18" s="77"/>
      <c r="F18" s="81">
        <f>G18/D18</f>
        <v>0.61533726242174724</v>
      </c>
      <c r="G18" s="80">
        <f>SUM(G9:G17)</f>
        <v>21821.09</v>
      </c>
    </row>
    <row r="19" spans="1:8" ht="30" customHeight="1" x14ac:dyDescent="0.25">
      <c r="A19" s="344" t="s">
        <v>142</v>
      </c>
      <c r="B19" s="344"/>
      <c r="C19" s="344"/>
      <c r="D19" s="344"/>
      <c r="E19" s="344"/>
      <c r="F19" s="344"/>
      <c r="G19" s="344"/>
    </row>
    <row r="20" spans="1:8" ht="30" customHeight="1" x14ac:dyDescent="0.25">
      <c r="A20" s="343" t="s">
        <v>143</v>
      </c>
      <c r="B20" s="343"/>
      <c r="C20" s="343"/>
      <c r="D20" s="343"/>
      <c r="E20" s="343"/>
      <c r="F20" s="343"/>
      <c r="G20" s="343"/>
    </row>
    <row r="21" spans="1:8" ht="30" customHeight="1" x14ac:dyDescent="0.25">
      <c r="A21" s="343" t="s">
        <v>144</v>
      </c>
      <c r="B21" s="343"/>
      <c r="C21" s="343"/>
      <c r="D21" s="343"/>
      <c r="E21" s="343"/>
      <c r="F21" s="343"/>
      <c r="G21" s="343"/>
    </row>
    <row r="22" spans="1:8" ht="39.75" customHeight="1" x14ac:dyDescent="0.25">
      <c r="A22" s="343" t="s">
        <v>145</v>
      </c>
      <c r="B22" s="343"/>
      <c r="C22" s="343"/>
      <c r="D22" s="343"/>
      <c r="E22" s="343"/>
      <c r="F22" s="343"/>
      <c r="G22" s="343"/>
    </row>
    <row r="23" spans="1:8" ht="30" customHeight="1" x14ac:dyDescent="0.25">
      <c r="A23" s="343" t="s">
        <v>146</v>
      </c>
      <c r="B23" s="343"/>
      <c r="C23" s="343"/>
      <c r="D23" s="343"/>
      <c r="E23" s="343"/>
      <c r="F23" s="343"/>
      <c r="G23" s="343"/>
    </row>
    <row r="24" spans="1:8" ht="30" customHeight="1" x14ac:dyDescent="0.25">
      <c r="A24" s="343" t="s">
        <v>147</v>
      </c>
      <c r="B24" s="343"/>
      <c r="C24" s="343"/>
      <c r="D24" s="343"/>
      <c r="E24" s="343"/>
      <c r="F24" s="343"/>
      <c r="G24" s="343"/>
    </row>
    <row r="25" spans="1:8" ht="30" customHeight="1" x14ac:dyDescent="0.25">
      <c r="A25" s="343" t="s">
        <v>148</v>
      </c>
      <c r="B25" s="343"/>
      <c r="C25" s="343"/>
      <c r="D25" s="343"/>
      <c r="E25" s="343"/>
      <c r="F25" s="343"/>
      <c r="G25" s="343"/>
    </row>
    <row r="27" spans="1:8" ht="78.75" x14ac:dyDescent="0.25">
      <c r="A27" s="84" t="s">
        <v>6</v>
      </c>
      <c r="B27" s="84" t="s">
        <v>133</v>
      </c>
      <c r="C27" s="84" t="s">
        <v>134</v>
      </c>
      <c r="D27" s="84" t="s">
        <v>135</v>
      </c>
      <c r="E27" s="84" t="s">
        <v>150</v>
      </c>
      <c r="F27" s="84" t="s">
        <v>151</v>
      </c>
      <c r="G27" s="84" t="s">
        <v>152</v>
      </c>
      <c r="H27" s="84" t="s">
        <v>153</v>
      </c>
    </row>
    <row r="28" spans="1:8" x14ac:dyDescent="0.25">
      <c r="A28" s="85" t="s">
        <v>39</v>
      </c>
      <c r="B28" s="86">
        <v>2686</v>
      </c>
      <c r="C28" s="86">
        <v>3102</v>
      </c>
      <c r="D28" s="86">
        <v>517</v>
      </c>
      <c r="E28" s="87">
        <v>16.6666666666667</v>
      </c>
      <c r="F28" s="87">
        <v>1.98</v>
      </c>
      <c r="G28" s="87">
        <v>0.28999999999999998</v>
      </c>
      <c r="H28" s="87">
        <v>149.93</v>
      </c>
    </row>
    <row r="29" spans="1:8" x14ac:dyDescent="0.25">
      <c r="A29" s="85" t="s">
        <v>38</v>
      </c>
      <c r="B29" s="86">
        <v>1960</v>
      </c>
      <c r="C29" s="86">
        <v>2163</v>
      </c>
      <c r="D29" s="86">
        <v>354</v>
      </c>
      <c r="E29" s="87">
        <v>16.366158113730901</v>
      </c>
      <c r="F29" s="87">
        <v>4.03</v>
      </c>
      <c r="G29" s="87">
        <v>0.42</v>
      </c>
      <c r="H29" s="87">
        <v>148.68</v>
      </c>
    </row>
    <row r="30" spans="1:8" x14ac:dyDescent="0.25">
      <c r="A30" s="85" t="s">
        <v>139</v>
      </c>
      <c r="B30" s="86">
        <v>47575</v>
      </c>
      <c r="C30" s="86">
        <v>51290</v>
      </c>
      <c r="D30" s="86">
        <v>4351</v>
      </c>
      <c r="E30" s="87">
        <v>8.4831351140573208</v>
      </c>
      <c r="F30" s="87">
        <v>1.76</v>
      </c>
      <c r="G30" s="87">
        <v>0.23</v>
      </c>
      <c r="H30" s="87">
        <v>1000.73</v>
      </c>
    </row>
    <row r="31" spans="1:8" x14ac:dyDescent="0.25">
      <c r="A31" s="85" t="s">
        <v>37</v>
      </c>
      <c r="B31" s="86">
        <v>1121</v>
      </c>
      <c r="C31" s="86">
        <v>1295</v>
      </c>
      <c r="D31" s="86">
        <v>164</v>
      </c>
      <c r="E31" s="87">
        <v>12.664092664092699</v>
      </c>
      <c r="F31" s="87">
        <v>0.95</v>
      </c>
      <c r="G31" s="87">
        <v>0.14000000000000001</v>
      </c>
      <c r="H31" s="87">
        <v>22.96</v>
      </c>
    </row>
    <row r="32" spans="1:8" x14ac:dyDescent="0.25">
      <c r="A32" s="85" t="s">
        <v>34</v>
      </c>
      <c r="B32" s="86">
        <v>6331</v>
      </c>
      <c r="C32" s="86">
        <v>7643</v>
      </c>
      <c r="D32" s="86">
        <v>959</v>
      </c>
      <c r="E32" s="87">
        <v>12.547429020018299</v>
      </c>
      <c r="F32" s="87">
        <v>2.02</v>
      </c>
      <c r="G32" s="87">
        <v>0.25</v>
      </c>
      <c r="H32" s="87">
        <v>239.75</v>
      </c>
    </row>
    <row r="33" spans="1:8" x14ac:dyDescent="0.25">
      <c r="A33" s="85" t="s">
        <v>32</v>
      </c>
      <c r="B33" s="86">
        <v>30540</v>
      </c>
      <c r="C33" s="86">
        <v>29745</v>
      </c>
      <c r="D33" s="86">
        <v>5264</v>
      </c>
      <c r="E33" s="87">
        <v>17.6970919482266</v>
      </c>
      <c r="F33" s="87">
        <v>4.5599999999999996</v>
      </c>
      <c r="G33" s="87">
        <v>0.63</v>
      </c>
      <c r="H33" s="87">
        <v>3316.32</v>
      </c>
    </row>
    <row r="34" spans="1:8" x14ac:dyDescent="0.25">
      <c r="A34" s="85" t="s">
        <v>40</v>
      </c>
      <c r="B34" s="86">
        <v>3659</v>
      </c>
      <c r="C34" s="86">
        <v>2605</v>
      </c>
      <c r="D34" s="86">
        <v>506</v>
      </c>
      <c r="E34" s="87">
        <v>19.424184261036501</v>
      </c>
      <c r="F34" s="87">
        <v>5.87</v>
      </c>
      <c r="G34" s="87">
        <v>0.67</v>
      </c>
      <c r="H34" s="87">
        <v>339.02</v>
      </c>
    </row>
    <row r="35" spans="1:8" x14ac:dyDescent="0.25">
      <c r="A35" s="85" t="s">
        <v>35</v>
      </c>
      <c r="B35" s="86">
        <v>1640</v>
      </c>
      <c r="C35" s="86">
        <v>1964</v>
      </c>
      <c r="D35" s="86">
        <v>296</v>
      </c>
      <c r="E35" s="87">
        <v>15.071283095723</v>
      </c>
      <c r="F35" s="87">
        <v>1.84</v>
      </c>
      <c r="G35" s="87">
        <v>0.24</v>
      </c>
      <c r="H35" s="87">
        <v>71.040000000000006</v>
      </c>
    </row>
    <row r="36" spans="1:8" ht="38.25" x14ac:dyDescent="0.25">
      <c r="A36" s="88" t="s">
        <v>141</v>
      </c>
      <c r="B36" s="86">
        <v>95512</v>
      </c>
      <c r="C36" s="86">
        <v>99807</v>
      </c>
      <c r="D36" s="86">
        <v>12411</v>
      </c>
      <c r="E36" s="86"/>
      <c r="F36" s="86"/>
      <c r="G36" s="89">
        <f>H36/D36</f>
        <v>0.42610829103214898</v>
      </c>
      <c r="H36" s="87">
        <v>5288.4300000000012</v>
      </c>
    </row>
    <row r="38" spans="1:8" ht="78.75" x14ac:dyDescent="0.25">
      <c r="A38" s="84" t="s">
        <v>30</v>
      </c>
      <c r="B38" s="84" t="s">
        <v>133</v>
      </c>
      <c r="C38" s="84" t="s">
        <v>134</v>
      </c>
      <c r="D38" s="84" t="s">
        <v>135</v>
      </c>
      <c r="E38" s="84" t="s">
        <v>150</v>
      </c>
      <c r="F38" s="84" t="s">
        <v>151</v>
      </c>
      <c r="G38" s="84" t="s">
        <v>152</v>
      </c>
      <c r="H38" s="84" t="s">
        <v>153</v>
      </c>
    </row>
    <row r="39" spans="1:8" x14ac:dyDescent="0.25">
      <c r="A39" s="85" t="s">
        <v>39</v>
      </c>
      <c r="B39" s="86">
        <v>35602</v>
      </c>
      <c r="C39" s="86">
        <v>79596</v>
      </c>
      <c r="D39" s="86">
        <v>6570</v>
      </c>
      <c r="E39" s="87">
        <v>8.2541836273179605</v>
      </c>
      <c r="F39" s="87">
        <v>45.84</v>
      </c>
      <c r="G39" s="87">
        <v>5.52</v>
      </c>
      <c r="H39" s="87">
        <v>36266.400000000001</v>
      </c>
    </row>
    <row r="40" spans="1:8" x14ac:dyDescent="0.25">
      <c r="A40" s="85" t="s">
        <v>38</v>
      </c>
      <c r="B40" s="86">
        <v>40977</v>
      </c>
      <c r="C40" s="86">
        <v>103912</v>
      </c>
      <c r="D40" s="86">
        <v>6659</v>
      </c>
      <c r="E40" s="87">
        <v>6.4083070290245603</v>
      </c>
      <c r="F40" s="87">
        <v>36.07</v>
      </c>
      <c r="G40" s="87">
        <v>4.04</v>
      </c>
      <c r="H40" s="87">
        <v>26902.36</v>
      </c>
    </row>
    <row r="41" spans="1:8" x14ac:dyDescent="0.25">
      <c r="A41" s="85" t="s">
        <v>139</v>
      </c>
      <c r="B41" s="86">
        <v>844960</v>
      </c>
      <c r="C41" s="86">
        <v>1359018</v>
      </c>
      <c r="D41" s="86">
        <v>80733</v>
      </c>
      <c r="E41" s="87">
        <v>5.9405394189039402</v>
      </c>
      <c r="F41" s="87">
        <v>11.93</v>
      </c>
      <c r="G41" s="87">
        <v>1.1499999999999999</v>
      </c>
      <c r="H41" s="87">
        <v>92842.95</v>
      </c>
    </row>
    <row r="42" spans="1:8" x14ac:dyDescent="0.25">
      <c r="A42" s="85" t="s">
        <v>37</v>
      </c>
      <c r="B42" s="86">
        <v>17216</v>
      </c>
      <c r="C42" s="86">
        <v>18994</v>
      </c>
      <c r="D42" s="86">
        <v>2227</v>
      </c>
      <c r="E42" s="87">
        <v>11.724755185848199</v>
      </c>
      <c r="F42" s="87">
        <v>10.119999999999999</v>
      </c>
      <c r="G42" s="87">
        <v>0.63</v>
      </c>
      <c r="H42" s="87">
        <v>1403.01</v>
      </c>
    </row>
    <row r="43" spans="1:8" x14ac:dyDescent="0.25">
      <c r="A43" s="85" t="s">
        <v>34</v>
      </c>
      <c r="B43" s="86">
        <v>149287</v>
      </c>
      <c r="C43" s="86">
        <v>365047</v>
      </c>
      <c r="D43" s="86">
        <v>17373</v>
      </c>
      <c r="E43" s="87">
        <v>4.7591132100797999</v>
      </c>
      <c r="F43" s="87">
        <v>29.29</v>
      </c>
      <c r="G43" s="87">
        <v>4.09</v>
      </c>
      <c r="H43" s="87">
        <v>71055.570000000007</v>
      </c>
    </row>
    <row r="44" spans="1:8" x14ac:dyDescent="0.25">
      <c r="A44" s="85" t="s">
        <v>32</v>
      </c>
      <c r="B44" s="86">
        <v>9164</v>
      </c>
      <c r="C44" s="86">
        <v>29111</v>
      </c>
      <c r="D44" s="86">
        <v>1722</v>
      </c>
      <c r="E44" s="87">
        <v>5.9152897530143198</v>
      </c>
      <c r="F44" s="87">
        <v>43.6</v>
      </c>
      <c r="G44" s="87">
        <v>4.66</v>
      </c>
      <c r="H44" s="87">
        <v>8024.52</v>
      </c>
    </row>
    <row r="45" spans="1:8" x14ac:dyDescent="0.25">
      <c r="A45" s="85" t="s">
        <v>40</v>
      </c>
      <c r="B45" s="86">
        <v>33276</v>
      </c>
      <c r="C45" s="86">
        <v>392687</v>
      </c>
      <c r="D45" s="86">
        <v>9183</v>
      </c>
      <c r="E45" s="87">
        <v>2.33850369378156</v>
      </c>
      <c r="F45" s="87">
        <v>152.25</v>
      </c>
      <c r="G45" s="87">
        <v>28.06</v>
      </c>
      <c r="H45" s="87">
        <v>257674.98</v>
      </c>
    </row>
    <row r="46" spans="1:8" x14ac:dyDescent="0.25">
      <c r="A46" s="85" t="s">
        <v>35</v>
      </c>
      <c r="B46" s="86">
        <v>10422</v>
      </c>
      <c r="C46" s="86">
        <v>18904</v>
      </c>
      <c r="D46" s="86">
        <v>1605</v>
      </c>
      <c r="E46" s="87">
        <v>8.4902666102412194</v>
      </c>
      <c r="F46" s="87">
        <v>23.61</v>
      </c>
      <c r="G46" s="87">
        <v>3.52</v>
      </c>
      <c r="H46" s="87">
        <v>5649.6</v>
      </c>
    </row>
    <row r="47" spans="1:8" ht="38.25" x14ac:dyDescent="0.25">
      <c r="A47" s="88" t="s">
        <v>141</v>
      </c>
      <c r="B47" s="86">
        <v>1140904</v>
      </c>
      <c r="C47" s="86">
        <v>2367269</v>
      </c>
      <c r="D47" s="86">
        <v>126072</v>
      </c>
      <c r="E47" s="86"/>
      <c r="F47" s="86"/>
      <c r="G47" s="90">
        <f>H47/D47</f>
        <v>3.9645550955009838</v>
      </c>
      <c r="H47" s="87">
        <v>499819.39</v>
      </c>
    </row>
    <row r="49" spans="1:8" ht="78.75" x14ac:dyDescent="0.25">
      <c r="A49" s="84" t="s">
        <v>31</v>
      </c>
      <c r="B49" s="84" t="s">
        <v>133</v>
      </c>
      <c r="C49" s="84" t="s">
        <v>134</v>
      </c>
      <c r="D49" s="84" t="s">
        <v>135</v>
      </c>
      <c r="E49" s="84" t="s">
        <v>150</v>
      </c>
      <c r="F49" s="84" t="s">
        <v>151</v>
      </c>
      <c r="G49" s="84" t="s">
        <v>152</v>
      </c>
      <c r="H49" s="84" t="s">
        <v>153</v>
      </c>
    </row>
    <row r="50" spans="1:8" x14ac:dyDescent="0.25">
      <c r="A50" s="85" t="s">
        <v>39</v>
      </c>
      <c r="B50" s="86">
        <v>17010</v>
      </c>
      <c r="C50" s="86">
        <v>56702</v>
      </c>
      <c r="D50" s="86">
        <v>2994</v>
      </c>
      <c r="E50" s="87">
        <v>5.2802370286762397</v>
      </c>
      <c r="F50" s="87">
        <v>24.03</v>
      </c>
      <c r="G50" s="87">
        <v>3.49</v>
      </c>
      <c r="H50" s="87">
        <v>10449.06</v>
      </c>
    </row>
    <row r="51" spans="1:8" x14ac:dyDescent="0.25">
      <c r="A51" s="85" t="s">
        <v>38</v>
      </c>
      <c r="B51" s="86">
        <v>16515</v>
      </c>
      <c r="C51" s="86">
        <v>71191</v>
      </c>
      <c r="D51" s="86">
        <v>2437</v>
      </c>
      <c r="E51" s="87">
        <v>3.4231855150229702</v>
      </c>
      <c r="F51" s="87">
        <v>21.6</v>
      </c>
      <c r="G51" s="87">
        <v>3.23</v>
      </c>
      <c r="H51" s="87">
        <v>7871.51</v>
      </c>
    </row>
    <row r="52" spans="1:8" x14ac:dyDescent="0.25">
      <c r="A52" s="85" t="s">
        <v>139</v>
      </c>
      <c r="B52" s="86">
        <v>416547</v>
      </c>
      <c r="C52" s="86">
        <v>442865</v>
      </c>
      <c r="D52" s="86">
        <v>28821</v>
      </c>
      <c r="E52" s="87">
        <v>6.5078522800401899</v>
      </c>
      <c r="F52" s="87">
        <v>7.2</v>
      </c>
      <c r="G52" s="87">
        <v>0.7</v>
      </c>
      <c r="H52" s="87">
        <v>20174.7</v>
      </c>
    </row>
    <row r="53" spans="1:8" x14ac:dyDescent="0.25">
      <c r="A53" s="85" t="s">
        <v>37</v>
      </c>
      <c r="B53" s="86">
        <v>7560</v>
      </c>
      <c r="C53" s="86">
        <v>8649</v>
      </c>
      <c r="D53" s="86">
        <v>876</v>
      </c>
      <c r="E53" s="87">
        <v>10.128338536247</v>
      </c>
      <c r="F53" s="87">
        <v>1.81</v>
      </c>
      <c r="G53" s="87">
        <v>0.24</v>
      </c>
      <c r="H53" s="87">
        <v>210.24</v>
      </c>
    </row>
    <row r="54" spans="1:8" x14ac:dyDescent="0.25">
      <c r="A54" s="85" t="s">
        <v>34</v>
      </c>
      <c r="B54" s="86">
        <v>52446</v>
      </c>
      <c r="C54" s="86">
        <v>63188</v>
      </c>
      <c r="D54" s="86">
        <v>4600</v>
      </c>
      <c r="E54" s="87">
        <v>7.2798632651769299</v>
      </c>
      <c r="F54" s="87">
        <v>22.84</v>
      </c>
      <c r="G54" s="87">
        <v>2.62</v>
      </c>
      <c r="H54" s="87">
        <v>12052</v>
      </c>
    </row>
    <row r="55" spans="1:8" x14ac:dyDescent="0.25">
      <c r="A55" s="85" t="s">
        <v>32</v>
      </c>
      <c r="B55" s="86">
        <v>2595</v>
      </c>
      <c r="C55" s="86">
        <v>4417</v>
      </c>
      <c r="D55" s="86">
        <v>403</v>
      </c>
      <c r="E55" s="87">
        <v>9.1238397102105502</v>
      </c>
      <c r="F55" s="87">
        <v>27.28</v>
      </c>
      <c r="G55" s="87">
        <v>4.01</v>
      </c>
      <c r="H55" s="87">
        <v>1616.03</v>
      </c>
    </row>
    <row r="56" spans="1:8" x14ac:dyDescent="0.25">
      <c r="A56" s="85" t="s">
        <v>40</v>
      </c>
      <c r="B56" s="86">
        <v>9582</v>
      </c>
      <c r="C56" s="86">
        <v>16204</v>
      </c>
      <c r="D56" s="86">
        <v>2861</v>
      </c>
      <c r="E56" s="87">
        <v>17.656134287830199</v>
      </c>
      <c r="F56" s="87">
        <v>37.42</v>
      </c>
      <c r="G56" s="87">
        <v>6.36</v>
      </c>
      <c r="H56" s="87">
        <v>18195.96</v>
      </c>
    </row>
    <row r="57" spans="1:8" x14ac:dyDescent="0.25">
      <c r="A57" s="85" t="s">
        <v>35</v>
      </c>
      <c r="B57" s="86">
        <v>8749</v>
      </c>
      <c r="C57" s="86">
        <v>12343</v>
      </c>
      <c r="D57" s="86">
        <v>1301</v>
      </c>
      <c r="E57" s="87">
        <v>10.540387264036299</v>
      </c>
      <c r="F57" s="87">
        <v>27.67</v>
      </c>
      <c r="G57" s="87">
        <v>3.73</v>
      </c>
      <c r="H57" s="87">
        <v>4852.7299999999996</v>
      </c>
    </row>
    <row r="58" spans="1:8" ht="38.25" x14ac:dyDescent="0.25">
      <c r="A58" s="88" t="s">
        <v>141</v>
      </c>
      <c r="B58" s="86">
        <v>531004</v>
      </c>
      <c r="C58" s="86">
        <v>675559</v>
      </c>
      <c r="D58" s="86">
        <v>44293</v>
      </c>
      <c r="E58" s="86"/>
      <c r="F58" s="86"/>
      <c r="G58" s="91">
        <f>H58/D58</f>
        <v>1.7028024744316257</v>
      </c>
      <c r="H58" s="87">
        <v>75422.23</v>
      </c>
    </row>
    <row r="60" spans="1:8" ht="78.75" x14ac:dyDescent="0.25">
      <c r="A60" s="84" t="s">
        <v>42</v>
      </c>
      <c r="B60" s="84" t="s">
        <v>133</v>
      </c>
      <c r="C60" s="84" t="s">
        <v>134</v>
      </c>
      <c r="D60" s="84" t="s">
        <v>135</v>
      </c>
      <c r="E60" s="84" t="s">
        <v>150</v>
      </c>
      <c r="F60" s="84" t="s">
        <v>151</v>
      </c>
      <c r="G60" s="84" t="s">
        <v>152</v>
      </c>
      <c r="H60" s="84" t="s">
        <v>153</v>
      </c>
    </row>
    <row r="61" spans="1:8" x14ac:dyDescent="0.25">
      <c r="A61" s="85" t="s">
        <v>39</v>
      </c>
      <c r="B61" s="86">
        <v>5862</v>
      </c>
      <c r="C61" s="86">
        <v>6492</v>
      </c>
      <c r="D61" s="86">
        <v>997</v>
      </c>
      <c r="E61" s="87">
        <v>15.3573629081947</v>
      </c>
      <c r="F61" s="87">
        <v>7.38</v>
      </c>
      <c r="G61" s="87">
        <v>1.22</v>
      </c>
      <c r="H61" s="87">
        <v>1216.3399999999999</v>
      </c>
    </row>
    <row r="62" spans="1:8" x14ac:dyDescent="0.25">
      <c r="A62" s="85" t="s">
        <v>38</v>
      </c>
      <c r="B62" s="86">
        <v>3181</v>
      </c>
      <c r="C62" s="86">
        <v>4232</v>
      </c>
      <c r="D62" s="86">
        <v>506</v>
      </c>
      <c r="E62" s="87">
        <v>11.9565217391304</v>
      </c>
      <c r="F62" s="87">
        <v>4.95</v>
      </c>
      <c r="G62" s="87">
        <v>0.98</v>
      </c>
      <c r="H62" s="87">
        <v>495.88</v>
      </c>
    </row>
    <row r="63" spans="1:8" x14ac:dyDescent="0.25">
      <c r="A63" s="85" t="s">
        <v>139</v>
      </c>
      <c r="B63" s="86">
        <v>68119</v>
      </c>
      <c r="C63" s="86">
        <v>67199</v>
      </c>
      <c r="D63" s="86">
        <v>3626</v>
      </c>
      <c r="E63" s="87">
        <v>5.3959136296671097</v>
      </c>
      <c r="F63" s="87">
        <v>4.58</v>
      </c>
      <c r="G63" s="87">
        <v>0.44</v>
      </c>
      <c r="H63" s="87">
        <v>1595.44</v>
      </c>
    </row>
    <row r="64" spans="1:8" x14ac:dyDescent="0.25">
      <c r="A64" s="85" t="s">
        <v>37</v>
      </c>
      <c r="B64" s="86">
        <v>1440</v>
      </c>
      <c r="C64" s="86">
        <v>1424</v>
      </c>
      <c r="D64" s="86">
        <v>119</v>
      </c>
      <c r="E64" s="87">
        <v>8.3567415730337107</v>
      </c>
      <c r="F64" s="87">
        <v>0.85</v>
      </c>
      <c r="G64" s="87">
        <v>0.14000000000000001</v>
      </c>
      <c r="H64" s="87">
        <v>16.66</v>
      </c>
    </row>
    <row r="65" spans="1:8" x14ac:dyDescent="0.25">
      <c r="A65" s="85" t="s">
        <v>34</v>
      </c>
      <c r="B65" s="86">
        <v>9601</v>
      </c>
      <c r="C65" s="86">
        <v>11164</v>
      </c>
      <c r="D65" s="86">
        <v>865</v>
      </c>
      <c r="E65" s="87">
        <v>7.7481189537800104</v>
      </c>
      <c r="F65" s="87">
        <v>6.41</v>
      </c>
      <c r="G65" s="87">
        <v>0.69</v>
      </c>
      <c r="H65" s="87">
        <v>596.85</v>
      </c>
    </row>
    <row r="66" spans="1:8" x14ac:dyDescent="0.25">
      <c r="A66" s="85" t="s">
        <v>32</v>
      </c>
      <c r="B66" s="86">
        <v>588</v>
      </c>
      <c r="C66" s="86">
        <v>817</v>
      </c>
      <c r="D66" s="86">
        <v>108</v>
      </c>
      <c r="E66" s="87">
        <v>13.219094247246</v>
      </c>
      <c r="F66" s="87">
        <v>4.95</v>
      </c>
      <c r="G66" s="87">
        <v>0.9</v>
      </c>
      <c r="H66" s="87">
        <v>97.2</v>
      </c>
    </row>
    <row r="67" spans="1:8" x14ac:dyDescent="0.25">
      <c r="A67" s="85" t="s">
        <v>40</v>
      </c>
      <c r="B67" s="86">
        <v>2713</v>
      </c>
      <c r="C67" s="86">
        <v>3007</v>
      </c>
      <c r="D67" s="86">
        <v>602</v>
      </c>
      <c r="E67" s="87">
        <v>20.019953441968699</v>
      </c>
      <c r="F67" s="87">
        <v>31.28</v>
      </c>
      <c r="G67" s="87">
        <v>5.62</v>
      </c>
      <c r="H67" s="87">
        <v>3383.24</v>
      </c>
    </row>
    <row r="68" spans="1:8" x14ac:dyDescent="0.25">
      <c r="A68" s="85" t="s">
        <v>35</v>
      </c>
      <c r="B68" s="86">
        <v>1287</v>
      </c>
      <c r="C68" s="86">
        <v>1359</v>
      </c>
      <c r="D68" s="86">
        <v>186</v>
      </c>
      <c r="E68" s="87">
        <v>13.686534216335501</v>
      </c>
      <c r="F68" s="87">
        <v>7.33</v>
      </c>
      <c r="G68" s="87">
        <v>1.06</v>
      </c>
      <c r="H68" s="87">
        <v>197.16</v>
      </c>
    </row>
    <row r="69" spans="1:8" ht="38.25" x14ac:dyDescent="0.25">
      <c r="A69" s="88" t="s">
        <v>141</v>
      </c>
      <c r="B69" s="86">
        <v>92791</v>
      </c>
      <c r="C69" s="86">
        <v>95694</v>
      </c>
      <c r="D69" s="86">
        <v>7009</v>
      </c>
      <c r="E69" s="86"/>
      <c r="F69" s="86"/>
      <c r="G69" s="91">
        <f>H69/D69</f>
        <v>1.0841446711371092</v>
      </c>
      <c r="H69" s="87">
        <v>7598.7699999999986</v>
      </c>
    </row>
  </sheetData>
  <mergeCells count="7">
    <mergeCell ref="A25:G25"/>
    <mergeCell ref="A19:G19"/>
    <mergeCell ref="A20:G20"/>
    <mergeCell ref="A21:G21"/>
    <mergeCell ref="A22:G22"/>
    <mergeCell ref="A23:G23"/>
    <mergeCell ref="A24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ГЕОреклама "РОЛЬШТОРЫ"</vt:lpstr>
      <vt:lpstr>ГЕОреклама РОЛЬШТОРЫ КОНВЕРСИЯ</vt:lpstr>
      <vt:lpstr>АБОНЕНТКА</vt:lpstr>
      <vt:lpstr>РАЗОВО</vt:lpstr>
      <vt:lpstr>Трафик ПЛАТНЫЙ vs БЕСПЛАТНЫЙ</vt:lpstr>
      <vt:lpstr>ИСТОЧНИКИ Поиск+Карты+Приоритет</vt:lpstr>
      <vt:lpstr>ИСТОЧНИКИ Поиск+Карты+Навигатор</vt:lpstr>
      <vt:lpstr>Яндекс.Статистика "РОЛЬШТОРЫ"</vt:lpstr>
      <vt:lpstr>Яндекс.Директ "РОЛЬШТОРЫ"</vt:lpstr>
      <vt:lpstr>'ИСТОЧНИКИ Поиск+Карты+Приоритет'!Область_печати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 Валуев</dc:creator>
  <cp:lastModifiedBy>Константин Валуев</cp:lastModifiedBy>
  <cp:lastPrinted>2026-03-04T08:28:03Z</cp:lastPrinted>
  <dcterms:created xsi:type="dcterms:W3CDTF">2025-10-10T07:05:35Z</dcterms:created>
  <dcterms:modified xsi:type="dcterms:W3CDTF">2026-04-06T15:31:23Z</dcterms:modified>
</cp:coreProperties>
</file>